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server\Contacad\Salen\012022\"/>
    </mc:Choice>
  </mc:AlternateContent>
  <workbookProtection lockStructure="1"/>
  <bookViews>
    <workbookView xWindow="0" yWindow="0" windowWidth="20730" windowHeight="11250" firstSheet="27" activeTab="29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b)'!$A$70</definedName>
    <definedName name="GASTO_E_FIN">'Formato 6 b)'!$A$79</definedName>
    <definedName name="GASTO_E_FIN_01">'Formato 6 b)'!$B$79</definedName>
    <definedName name="GASTO_E_FIN_02">'Formato 6 b)'!$C$79</definedName>
    <definedName name="GASTO_E_FIN_03">'Formato 6 b)'!$D$79</definedName>
    <definedName name="GASTO_E_FIN_04">'Formato 6 b)'!$E$79</definedName>
    <definedName name="GASTO_E_FIN_05">'Formato 6 b)'!$F$79</definedName>
    <definedName name="GASTO_E_FIN_06">'Formato 6 b)'!$G$79</definedName>
    <definedName name="GASTO_E_T1">'Formato 6 b)'!$B$70</definedName>
    <definedName name="GASTO_E_T2">'Formato 6 b)'!$C$70</definedName>
    <definedName name="GASTO_E_T3">'Formato 6 b)'!$D$70</definedName>
    <definedName name="GASTO_E_T4">'Formato 6 b)'!$E$70</definedName>
    <definedName name="GASTO_E_T5">'Formato 6 b)'!$F$70</definedName>
    <definedName name="GASTO_E_T6">'Formato 6 b)'!$G$70</definedName>
    <definedName name="GASTO_NE">'Formato 6 b)'!$A$9</definedName>
    <definedName name="GASTO_NE_FIN">'Formato 6 b)'!$A$69</definedName>
    <definedName name="GASTO_NE_FIN_01">'Formato 6 b)'!$B$69</definedName>
    <definedName name="GASTO_NE_FIN_02">'Formato 6 b)'!$C$69</definedName>
    <definedName name="GASTO_NE_FIN_03">'Formato 6 b)'!$D$69</definedName>
    <definedName name="GASTO_NE_FIN_04">'Formato 6 b)'!$E$69</definedName>
    <definedName name="GASTO_NE_FIN_05">'Formato 6 b)'!$F$69</definedName>
    <definedName name="GASTO_NE_FIN_06">'Formato 6 b)'!$G$69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b)'!$B$80</definedName>
    <definedName name="TOTAL_E_T2">'Formato 6 b)'!$C$80</definedName>
    <definedName name="TOTAL_E_T3">'Formato 6 b)'!$D$80</definedName>
    <definedName name="TOTAL_E_T4">'Formato 6 b)'!$E$80</definedName>
    <definedName name="TOTAL_E_T5">'Formato 6 b)'!$F$80</definedName>
    <definedName name="TOTAL_E_T6">'Formato 6 b)'!$G$80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</workbook>
</file>

<file path=xl/calcChain.xml><?xml version="1.0" encoding="utf-8"?>
<calcChain xmlns="http://schemas.openxmlformats.org/spreadsheetml/2006/main">
  <c r="G6" i="11" l="1"/>
  <c r="F6" i="11"/>
  <c r="E6" i="11"/>
  <c r="D6" i="11"/>
  <c r="C6" i="11"/>
  <c r="B6" i="11"/>
  <c r="G6" i="10"/>
  <c r="F6" i="10"/>
  <c r="E6" i="10"/>
  <c r="D6" i="10"/>
  <c r="C6" i="10"/>
  <c r="B6" i="10"/>
  <c r="B37" i="5" l="1"/>
  <c r="G26" i="5"/>
  <c r="U20" i="20" s="1"/>
  <c r="C137" i="6"/>
  <c r="Q129" i="24" s="1"/>
  <c r="D137" i="6"/>
  <c r="E137" i="6"/>
  <c r="F137" i="6"/>
  <c r="B137" i="6"/>
  <c r="P129" i="24" s="1"/>
  <c r="C62" i="6"/>
  <c r="Q55" i="24" s="1"/>
  <c r="D62" i="6"/>
  <c r="E62" i="6"/>
  <c r="F62" i="6"/>
  <c r="T55" i="24" s="1"/>
  <c r="B62" i="6"/>
  <c r="P55" i="24" s="1"/>
  <c r="B8" i="10"/>
  <c r="C6" i="23"/>
  <c r="C7" i="23" s="1"/>
  <c r="B9" i="1"/>
  <c r="P4" i="15" s="1"/>
  <c r="H25" i="23"/>
  <c r="G25" i="23"/>
  <c r="F25" i="23"/>
  <c r="D5" i="13" s="1"/>
  <c r="E25" i="23"/>
  <c r="C5" i="13" s="1"/>
  <c r="D25" i="23"/>
  <c r="G30" i="9"/>
  <c r="G31" i="9"/>
  <c r="G29" i="9"/>
  <c r="G28" i="9" s="1"/>
  <c r="U20" i="27" s="1"/>
  <c r="G26" i="9"/>
  <c r="G24" i="9" s="1"/>
  <c r="G27" i="9"/>
  <c r="G25" i="9"/>
  <c r="G23" i="9"/>
  <c r="G22" i="9"/>
  <c r="G19" i="9"/>
  <c r="G18" i="9"/>
  <c r="G17" i="9"/>
  <c r="G14" i="9"/>
  <c r="G15" i="9"/>
  <c r="G13" i="9"/>
  <c r="G11" i="9"/>
  <c r="G10" i="9"/>
  <c r="G73" i="8"/>
  <c r="G74" i="8"/>
  <c r="G75" i="8"/>
  <c r="U67" i="26" s="1"/>
  <c r="G72" i="8"/>
  <c r="G63" i="8"/>
  <c r="G64" i="8"/>
  <c r="G65" i="8"/>
  <c r="U57" i="26" s="1"/>
  <c r="G66" i="8"/>
  <c r="G67" i="8"/>
  <c r="G68" i="8"/>
  <c r="G69" i="8"/>
  <c r="G70" i="8"/>
  <c r="G62" i="8"/>
  <c r="G55" i="8"/>
  <c r="G56" i="8"/>
  <c r="U48" i="26" s="1"/>
  <c r="G57" i="8"/>
  <c r="G58" i="8"/>
  <c r="G59" i="8"/>
  <c r="G60" i="8"/>
  <c r="U52" i="26" s="1"/>
  <c r="G54" i="8"/>
  <c r="G46" i="8"/>
  <c r="G47" i="8"/>
  <c r="G48" i="8"/>
  <c r="G49" i="8"/>
  <c r="U41" i="26" s="1"/>
  <c r="G50" i="8"/>
  <c r="G51" i="8"/>
  <c r="G52" i="8"/>
  <c r="U44" i="26" s="1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U11" i="26" s="1"/>
  <c r="G20" i="8"/>
  <c r="G21" i="8"/>
  <c r="G22" i="8"/>
  <c r="U15" i="26" s="1"/>
  <c r="G23" i="8"/>
  <c r="U16" i="26" s="1"/>
  <c r="G24" i="8"/>
  <c r="G25" i="8"/>
  <c r="G26" i="8"/>
  <c r="U19" i="26" s="1"/>
  <c r="G28" i="8"/>
  <c r="U21" i="26" s="1"/>
  <c r="G29" i="8"/>
  <c r="G30" i="8"/>
  <c r="G31" i="8"/>
  <c r="U24" i="26" s="1"/>
  <c r="G32" i="8"/>
  <c r="U25" i="26" s="1"/>
  <c r="G33" i="8"/>
  <c r="G34" i="8"/>
  <c r="G35" i="8"/>
  <c r="U28" i="26" s="1"/>
  <c r="G36" i="8"/>
  <c r="U29" i="26" s="1"/>
  <c r="G72" i="7"/>
  <c r="G73" i="7"/>
  <c r="G74" i="7"/>
  <c r="G75" i="7"/>
  <c r="G76" i="7"/>
  <c r="G77" i="7"/>
  <c r="G78" i="7"/>
  <c r="G71" i="7"/>
  <c r="G68" i="7"/>
  <c r="B10" i="6"/>
  <c r="P3" i="24" s="1"/>
  <c r="B18" i="6"/>
  <c r="P11" i="24" s="1"/>
  <c r="B28" i="6"/>
  <c r="P21" i="24" s="1"/>
  <c r="B38" i="6"/>
  <c r="P31" i="24" s="1"/>
  <c r="B48" i="6"/>
  <c r="B58" i="6"/>
  <c r="B71" i="6"/>
  <c r="P64" i="24" s="1"/>
  <c r="B75" i="6"/>
  <c r="G152" i="6"/>
  <c r="G153" i="6"/>
  <c r="G154" i="6"/>
  <c r="U146" i="24" s="1"/>
  <c r="G155" i="6"/>
  <c r="U147" i="24" s="1"/>
  <c r="G156" i="6"/>
  <c r="G157" i="6"/>
  <c r="G151" i="6"/>
  <c r="G148" i="6"/>
  <c r="G149" i="6"/>
  <c r="G147" i="6"/>
  <c r="G139" i="6"/>
  <c r="U131" i="24" s="1"/>
  <c r="G140" i="6"/>
  <c r="G141" i="6"/>
  <c r="G142" i="6"/>
  <c r="G143" i="6"/>
  <c r="U135" i="24" s="1"/>
  <c r="G144" i="6"/>
  <c r="U136" i="24" s="1"/>
  <c r="G145" i="6"/>
  <c r="G138" i="6"/>
  <c r="G135" i="6"/>
  <c r="G136" i="6"/>
  <c r="G134" i="6"/>
  <c r="G125" i="6"/>
  <c r="G126" i="6"/>
  <c r="G127" i="6"/>
  <c r="G128" i="6"/>
  <c r="G129" i="6"/>
  <c r="G130" i="6"/>
  <c r="U122" i="24" s="1"/>
  <c r="G131" i="6"/>
  <c r="U123" i="24" s="1"/>
  <c r="G132" i="6"/>
  <c r="G124" i="6"/>
  <c r="G115" i="6"/>
  <c r="U107" i="24" s="1"/>
  <c r="G116" i="6"/>
  <c r="G117" i="6"/>
  <c r="G118" i="6"/>
  <c r="G119" i="6"/>
  <c r="U111" i="24" s="1"/>
  <c r="G120" i="6"/>
  <c r="G121" i="6"/>
  <c r="G122" i="6"/>
  <c r="G114" i="6"/>
  <c r="U106" i="24" s="1"/>
  <c r="G105" i="6"/>
  <c r="G106" i="6"/>
  <c r="G107" i="6"/>
  <c r="G108" i="6"/>
  <c r="U100" i="24" s="1"/>
  <c r="G109" i="6"/>
  <c r="U101" i="24" s="1"/>
  <c r="G110" i="6"/>
  <c r="G111" i="6"/>
  <c r="G112" i="6"/>
  <c r="U104" i="24" s="1"/>
  <c r="G104" i="6"/>
  <c r="U96" i="24" s="1"/>
  <c r="G95" i="6"/>
  <c r="G96" i="6"/>
  <c r="G97" i="6"/>
  <c r="G98" i="6"/>
  <c r="G99" i="6"/>
  <c r="G100" i="6"/>
  <c r="G101" i="6"/>
  <c r="U93" i="24" s="1"/>
  <c r="G102" i="6"/>
  <c r="G94" i="6"/>
  <c r="G87" i="6"/>
  <c r="G88" i="6"/>
  <c r="U80" i="24" s="1"/>
  <c r="G89" i="6"/>
  <c r="U81" i="24" s="1"/>
  <c r="G90" i="6"/>
  <c r="G91" i="6"/>
  <c r="G92" i="6"/>
  <c r="U84" i="24" s="1"/>
  <c r="G86" i="6"/>
  <c r="G77" i="6"/>
  <c r="G78" i="6"/>
  <c r="G79" i="6"/>
  <c r="U72" i="24" s="1"/>
  <c r="G80" i="6"/>
  <c r="U73" i="24" s="1"/>
  <c r="G81" i="6"/>
  <c r="G82" i="6"/>
  <c r="G76" i="6"/>
  <c r="G73" i="6"/>
  <c r="G74" i="6"/>
  <c r="G72" i="6"/>
  <c r="G64" i="6"/>
  <c r="G65" i="6"/>
  <c r="G66" i="6"/>
  <c r="G67" i="6"/>
  <c r="G68" i="6"/>
  <c r="G69" i="6"/>
  <c r="G70" i="6"/>
  <c r="G63" i="6"/>
  <c r="G60" i="6"/>
  <c r="G61" i="6"/>
  <c r="U54" i="24" s="1"/>
  <c r="G59" i="6"/>
  <c r="G50" i="6"/>
  <c r="G51" i="6"/>
  <c r="G52" i="6"/>
  <c r="U45" i="24" s="1"/>
  <c r="G53" i="6"/>
  <c r="G54" i="6"/>
  <c r="G55" i="6"/>
  <c r="U48" i="24" s="1"/>
  <c r="G56" i="6"/>
  <c r="U49" i="24" s="1"/>
  <c r="G57" i="6"/>
  <c r="G49" i="6"/>
  <c r="G40" i="6"/>
  <c r="G41" i="6"/>
  <c r="U34" i="24" s="1"/>
  <c r="G42" i="6"/>
  <c r="G43" i="6"/>
  <c r="G44" i="6"/>
  <c r="G45" i="6"/>
  <c r="G46" i="6"/>
  <c r="G47" i="6"/>
  <c r="G39" i="6"/>
  <c r="U32" i="24" s="1"/>
  <c r="G30" i="6"/>
  <c r="U23" i="24" s="1"/>
  <c r="G31" i="6"/>
  <c r="G32" i="6"/>
  <c r="G33" i="6"/>
  <c r="U26" i="24" s="1"/>
  <c r="G34" i="6"/>
  <c r="G35" i="6"/>
  <c r="G36" i="6"/>
  <c r="G37" i="6"/>
  <c r="U30" i="24" s="1"/>
  <c r="G29" i="6"/>
  <c r="G20" i="6"/>
  <c r="G21" i="6"/>
  <c r="G22" i="6"/>
  <c r="G23" i="6"/>
  <c r="G24" i="6"/>
  <c r="G25" i="6"/>
  <c r="G26" i="6"/>
  <c r="U19" i="24" s="1"/>
  <c r="G27" i="6"/>
  <c r="U20" i="24" s="1"/>
  <c r="G19" i="6"/>
  <c r="G11" i="6"/>
  <c r="B7" i="13"/>
  <c r="P2" i="31" s="1"/>
  <c r="G12" i="6"/>
  <c r="G13" i="6"/>
  <c r="G14" i="6"/>
  <c r="U7" i="24" s="1"/>
  <c r="G15" i="6"/>
  <c r="G16" i="6"/>
  <c r="U9" i="24" s="1"/>
  <c r="G17" i="6"/>
  <c r="G9" i="5"/>
  <c r="G10" i="5"/>
  <c r="G11" i="5"/>
  <c r="U5" i="20" s="1"/>
  <c r="G12" i="5"/>
  <c r="G13" i="5"/>
  <c r="U7" i="20" s="1"/>
  <c r="G14" i="5"/>
  <c r="G15" i="5"/>
  <c r="U9" i="20" s="1"/>
  <c r="G17" i="5"/>
  <c r="G18" i="5"/>
  <c r="U12" i="20" s="1"/>
  <c r="G19" i="5"/>
  <c r="G20" i="5"/>
  <c r="U14" i="20" s="1"/>
  <c r="G21" i="5"/>
  <c r="G22" i="5"/>
  <c r="U16" i="20" s="1"/>
  <c r="G23" i="5"/>
  <c r="G24" i="5"/>
  <c r="U18" i="20" s="1"/>
  <c r="G25" i="5"/>
  <c r="G27" i="5"/>
  <c r="U21" i="20" s="1"/>
  <c r="G29" i="5"/>
  <c r="U23" i="20" s="1"/>
  <c r="G30" i="5"/>
  <c r="G31" i="5"/>
  <c r="U25" i="20" s="1"/>
  <c r="G32" i="5"/>
  <c r="U26" i="20" s="1"/>
  <c r="G33" i="5"/>
  <c r="G34" i="5"/>
  <c r="G36" i="5"/>
  <c r="G35" i="5" s="1"/>
  <c r="U29" i="20" s="1"/>
  <c r="G38" i="5"/>
  <c r="U32" i="20" s="1"/>
  <c r="G39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 s="1"/>
  <c r="Q22" i="31" s="1"/>
  <c r="D7" i="13"/>
  <c r="D29" i="13" s="1"/>
  <c r="R22" i="31" s="1"/>
  <c r="E7" i="13"/>
  <c r="E29" i="13" s="1"/>
  <c r="S22" i="31" s="1"/>
  <c r="F7" i="13"/>
  <c r="T2" i="31" s="1"/>
  <c r="G7" i="13"/>
  <c r="U2" i="31" s="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C28" i="12"/>
  <c r="Q21" i="30" s="1"/>
  <c r="D28" i="12"/>
  <c r="R21" i="30" s="1"/>
  <c r="E28" i="12"/>
  <c r="S21" i="30" s="1"/>
  <c r="F28" i="12"/>
  <c r="G28" i="12"/>
  <c r="U21" i="30" s="1"/>
  <c r="P22" i="30"/>
  <c r="Q22" i="30"/>
  <c r="R22" i="30"/>
  <c r="S22" i="30"/>
  <c r="T22" i="30"/>
  <c r="U22" i="30"/>
  <c r="B7" i="12"/>
  <c r="C7" i="12"/>
  <c r="D7" i="12"/>
  <c r="R2" i="30" s="1"/>
  <c r="E7" i="12"/>
  <c r="F7" i="12"/>
  <c r="T2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C19" i="11"/>
  <c r="Q12" i="29" s="1"/>
  <c r="D19" i="11"/>
  <c r="R12" i="29" s="1"/>
  <c r="E19" i="11"/>
  <c r="S12" i="29" s="1"/>
  <c r="F19" i="1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C8" i="11"/>
  <c r="Q2" i="29" s="1"/>
  <c r="D8" i="11"/>
  <c r="E8" i="11"/>
  <c r="S2" i="29" s="1"/>
  <c r="F8" i="11"/>
  <c r="T2" i="29" s="1"/>
  <c r="G8" i="11"/>
  <c r="G30" i="11" s="1"/>
  <c r="U22" i="29" s="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 s="1"/>
  <c r="F29" i="10"/>
  <c r="T21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Q5" i="27" s="1"/>
  <c r="C16" i="9"/>
  <c r="Q9" i="27" s="1"/>
  <c r="D12" i="9"/>
  <c r="D16" i="9"/>
  <c r="R9" i="27" s="1"/>
  <c r="E12" i="9"/>
  <c r="S5" i="27" s="1"/>
  <c r="E16" i="9"/>
  <c r="S9" i="27" s="1"/>
  <c r="F12" i="9"/>
  <c r="F16" i="9"/>
  <c r="G12" i="9"/>
  <c r="U5" i="27" s="1"/>
  <c r="Q3" i="27"/>
  <c r="R3" i="27"/>
  <c r="S3" i="27"/>
  <c r="T3" i="27"/>
  <c r="U3" i="27"/>
  <c r="Q4" i="27"/>
  <c r="R4" i="27"/>
  <c r="S4" i="27"/>
  <c r="T4" i="27"/>
  <c r="T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10" i="27"/>
  <c r="R10" i="27"/>
  <c r="S10" i="27"/>
  <c r="T10" i="27"/>
  <c r="Q11" i="27"/>
  <c r="R11" i="27"/>
  <c r="S11" i="27"/>
  <c r="T11" i="27"/>
  <c r="U11" i="27"/>
  <c r="Q12" i="27"/>
  <c r="R12" i="27"/>
  <c r="S12" i="27"/>
  <c r="T12" i="27"/>
  <c r="U12" i="27"/>
  <c r="C24" i="9"/>
  <c r="C21" i="9" s="1"/>
  <c r="C28" i="9"/>
  <c r="Q20" i="27" s="1"/>
  <c r="D24" i="9"/>
  <c r="R16" i="27" s="1"/>
  <c r="D28" i="9"/>
  <c r="R20" i="27" s="1"/>
  <c r="E24" i="9"/>
  <c r="E21" i="9" s="1"/>
  <c r="E28" i="9"/>
  <c r="F24" i="9"/>
  <c r="F28" i="9"/>
  <c r="T20" i="27" s="1"/>
  <c r="Q14" i="27"/>
  <c r="R14" i="27"/>
  <c r="S14" i="27"/>
  <c r="T14" i="27"/>
  <c r="U14" i="27"/>
  <c r="Q15" i="27"/>
  <c r="R15" i="27"/>
  <c r="S15" i="27"/>
  <c r="T15" i="27"/>
  <c r="U15" i="27"/>
  <c r="S16" i="27"/>
  <c r="Q17" i="27"/>
  <c r="R17" i="27"/>
  <c r="S17" i="27"/>
  <c r="T17" i="27"/>
  <c r="U17" i="27"/>
  <c r="Q18" i="27"/>
  <c r="R18" i="27"/>
  <c r="S18" i="27"/>
  <c r="T18" i="27"/>
  <c r="Q19" i="27"/>
  <c r="R19" i="27"/>
  <c r="S19" i="27"/>
  <c r="T19" i="27"/>
  <c r="U19" i="27"/>
  <c r="S20" i="27"/>
  <c r="Q21" i="27"/>
  <c r="R21" i="27"/>
  <c r="S21" i="27"/>
  <c r="T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 s="1"/>
  <c r="P6" i="27"/>
  <c r="P7" i="27"/>
  <c r="P8" i="27"/>
  <c r="B16" i="9"/>
  <c r="P9" i="27" s="1"/>
  <c r="P10" i="27"/>
  <c r="P11" i="27"/>
  <c r="P12" i="27"/>
  <c r="B24" i="9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C19" i="8"/>
  <c r="C27" i="8"/>
  <c r="Q20" i="26" s="1"/>
  <c r="C37" i="8"/>
  <c r="Q30" i="26" s="1"/>
  <c r="D10" i="8"/>
  <c r="R3" i="26" s="1"/>
  <c r="D19" i="8"/>
  <c r="R12" i="26" s="1"/>
  <c r="D27" i="8"/>
  <c r="R20" i="26" s="1"/>
  <c r="D37" i="8"/>
  <c r="R30" i="26" s="1"/>
  <c r="E10" i="8"/>
  <c r="S3" i="26" s="1"/>
  <c r="E19" i="8"/>
  <c r="E27" i="8"/>
  <c r="S20" i="26" s="1"/>
  <c r="E37" i="8"/>
  <c r="S30" i="26" s="1"/>
  <c r="F10" i="8"/>
  <c r="T3" i="26" s="1"/>
  <c r="F19" i="8"/>
  <c r="F27" i="8"/>
  <c r="T20" i="26" s="1"/>
  <c r="F37" i="8"/>
  <c r="T30" i="26" s="1"/>
  <c r="Q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Q16" i="26"/>
  <c r="R16" i="26"/>
  <c r="S16" i="26"/>
  <c r="T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Q21" i="26"/>
  <c r="R21" i="26"/>
  <c r="S21" i="26"/>
  <c r="T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Q25" i="26"/>
  <c r="R25" i="26"/>
  <c r="S25" i="26"/>
  <c r="T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Q29" i="26"/>
  <c r="R29" i="26"/>
  <c r="S29" i="26"/>
  <c r="T29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Q36" i="26" s="1"/>
  <c r="C53" i="8"/>
  <c r="Q45" i="26" s="1"/>
  <c r="C61" i="8"/>
  <c r="Q53" i="26" s="1"/>
  <c r="C71" i="8"/>
  <c r="Q63" i="26" s="1"/>
  <c r="D44" i="8"/>
  <c r="R36" i="26" s="1"/>
  <c r="D53" i="8"/>
  <c r="R45" i="26" s="1"/>
  <c r="D61" i="8"/>
  <c r="R53" i="26" s="1"/>
  <c r="D71" i="8"/>
  <c r="R63" i="26" s="1"/>
  <c r="E44" i="8"/>
  <c r="S36" i="26" s="1"/>
  <c r="E53" i="8"/>
  <c r="E61" i="8"/>
  <c r="S53" i="26" s="1"/>
  <c r="E71" i="8"/>
  <c r="S63" i="26" s="1"/>
  <c r="F44" i="8"/>
  <c r="T36" i="26" s="1"/>
  <c r="F53" i="8"/>
  <c r="F61" i="8"/>
  <c r="T53" i="26" s="1"/>
  <c r="F71" i="8"/>
  <c r="T63" i="26" s="1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Q41" i="26"/>
  <c r="R41" i="26"/>
  <c r="S41" i="26"/>
  <c r="T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S45" i="26"/>
  <c r="Q46" i="26"/>
  <c r="R46" i="26"/>
  <c r="S46" i="26"/>
  <c r="T46" i="26"/>
  <c r="Q47" i="26"/>
  <c r="R47" i="26"/>
  <c r="S47" i="26"/>
  <c r="T47" i="26"/>
  <c r="U47" i="26"/>
  <c r="Q48" i="26"/>
  <c r="R48" i="26"/>
  <c r="S48" i="26"/>
  <c r="T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B44" i="8"/>
  <c r="P36" i="26" s="1"/>
  <c r="B53" i="8"/>
  <c r="P45" i="26" s="1"/>
  <c r="B61" i="8"/>
  <c r="P53" i="26" s="1"/>
  <c r="B71" i="8"/>
  <c r="P63" i="26" s="1"/>
  <c r="B10" i="8"/>
  <c r="P3" i="26" s="1"/>
  <c r="B19" i="8"/>
  <c r="P12" i="26" s="1"/>
  <c r="B27" i="8"/>
  <c r="P20" i="26" s="1"/>
  <c r="B37" i="8"/>
  <c r="P30" i="26" s="1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F9" i="7"/>
  <c r="T2" i="25" s="1"/>
  <c r="F70" i="7"/>
  <c r="T3" i="25" s="1"/>
  <c r="E9" i="7"/>
  <c r="E70" i="7"/>
  <c r="S3" i="25" s="1"/>
  <c r="D9" i="7"/>
  <c r="R2" i="25" s="1"/>
  <c r="D70" i="7"/>
  <c r="R3" i="25" s="1"/>
  <c r="C9" i="7"/>
  <c r="Q2" i="25" s="1"/>
  <c r="C70" i="7"/>
  <c r="B9" i="7"/>
  <c r="P2" i="25" s="1"/>
  <c r="B70" i="7"/>
  <c r="A3" i="25"/>
  <c r="A4" i="25"/>
  <c r="A2" i="25"/>
  <c r="A87" i="24"/>
  <c r="C85" i="6"/>
  <c r="Q77" i="24" s="1"/>
  <c r="C93" i="6"/>
  <c r="Q85" i="24" s="1"/>
  <c r="C103" i="6"/>
  <c r="Q95" i="24" s="1"/>
  <c r="C113" i="6"/>
  <c r="Q105" i="24" s="1"/>
  <c r="C123" i="6"/>
  <c r="Q115" i="24" s="1"/>
  <c r="C133" i="6"/>
  <c r="Q125" i="24" s="1"/>
  <c r="C146" i="6"/>
  <c r="C150" i="6"/>
  <c r="D85" i="6"/>
  <c r="R77" i="24" s="1"/>
  <c r="D93" i="6"/>
  <c r="D103" i="6"/>
  <c r="R95" i="24" s="1"/>
  <c r="D113" i="6"/>
  <c r="R105" i="24" s="1"/>
  <c r="D123" i="6"/>
  <c r="R115" i="24" s="1"/>
  <c r="D133" i="6"/>
  <c r="R125" i="24" s="1"/>
  <c r="D146" i="6"/>
  <c r="D150" i="6"/>
  <c r="E85" i="6"/>
  <c r="S77" i="24" s="1"/>
  <c r="E93" i="6"/>
  <c r="E103" i="6"/>
  <c r="E113" i="6"/>
  <c r="E123" i="6"/>
  <c r="S115" i="24" s="1"/>
  <c r="E133" i="6"/>
  <c r="S125" i="24" s="1"/>
  <c r="E146" i="6"/>
  <c r="E150" i="6"/>
  <c r="S142" i="24" s="1"/>
  <c r="F85" i="6"/>
  <c r="T77" i="24" s="1"/>
  <c r="F93" i="6"/>
  <c r="T85" i="24" s="1"/>
  <c r="F103" i="6"/>
  <c r="T95" i="24" s="1"/>
  <c r="F113" i="6"/>
  <c r="T105" i="24" s="1"/>
  <c r="F123" i="6"/>
  <c r="F133" i="6"/>
  <c r="T125" i="24" s="1"/>
  <c r="F146" i="6"/>
  <c r="T138" i="24" s="1"/>
  <c r="F150" i="6"/>
  <c r="T142" i="24" s="1"/>
  <c r="G113" i="6"/>
  <c r="U105" i="24" s="1"/>
  <c r="G146" i="6"/>
  <c r="U138" i="24" s="1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Q81" i="24"/>
  <c r="R81" i="24"/>
  <c r="S81" i="24"/>
  <c r="T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Q94" i="24"/>
  <c r="R94" i="24"/>
  <c r="S94" i="24"/>
  <c r="T94" i="24"/>
  <c r="U94" i="24"/>
  <c r="S95" i="24"/>
  <c r="Q96" i="24"/>
  <c r="R96" i="24"/>
  <c r="S96" i="24"/>
  <c r="T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Q101" i="24"/>
  <c r="R101" i="24"/>
  <c r="S101" i="24"/>
  <c r="T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S105" i="24"/>
  <c r="Q106" i="24"/>
  <c r="R106" i="24"/>
  <c r="S106" i="24"/>
  <c r="T106" i="24"/>
  <c r="Q107" i="24"/>
  <c r="R107" i="24"/>
  <c r="S107" i="24"/>
  <c r="T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Q123" i="24"/>
  <c r="R123" i="24"/>
  <c r="S123" i="24"/>
  <c r="T123" i="24"/>
  <c r="Q124" i="24"/>
  <c r="R124" i="24"/>
  <c r="S124" i="24"/>
  <c r="T124" i="24"/>
  <c r="U124" i="24"/>
  <c r="Q126" i="24"/>
  <c r="R126" i="24"/>
  <c r="S126" i="24"/>
  <c r="T126" i="24"/>
  <c r="U126" i="24"/>
  <c r="Q127" i="24"/>
  <c r="R127" i="24"/>
  <c r="S127" i="24"/>
  <c r="T127" i="24"/>
  <c r="Q128" i="24"/>
  <c r="R128" i="24"/>
  <c r="S128" i="24"/>
  <c r="T128" i="24"/>
  <c r="U128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Q136" i="24"/>
  <c r="R136" i="24"/>
  <c r="S136" i="24"/>
  <c r="T136" i="24"/>
  <c r="Q137" i="24"/>
  <c r="R137" i="24"/>
  <c r="S137" i="24"/>
  <c r="T137" i="24"/>
  <c r="U137" i="24"/>
  <c r="Q138" i="24"/>
  <c r="R138" i="24"/>
  <c r="S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Q147" i="24"/>
  <c r="R147" i="24"/>
  <c r="S147" i="24"/>
  <c r="T147" i="24"/>
  <c r="Q148" i="24"/>
  <c r="R148" i="24"/>
  <c r="S148" i="24"/>
  <c r="T148" i="24"/>
  <c r="U148" i="24"/>
  <c r="Q149" i="24"/>
  <c r="R149" i="24"/>
  <c r="S149" i="24"/>
  <c r="T149" i="24"/>
  <c r="U149" i="24"/>
  <c r="C10" i="6"/>
  <c r="Q3" i="24" s="1"/>
  <c r="C18" i="6"/>
  <c r="C28" i="6"/>
  <c r="Q21" i="24" s="1"/>
  <c r="C38" i="6"/>
  <c r="C48" i="6"/>
  <c r="Q41" i="24" s="1"/>
  <c r="C58" i="6"/>
  <c r="Q51" i="24" s="1"/>
  <c r="C71" i="6"/>
  <c r="Q64" i="24" s="1"/>
  <c r="C75" i="6"/>
  <c r="D10" i="6"/>
  <c r="R3" i="24" s="1"/>
  <c r="D18" i="6"/>
  <c r="D28" i="6"/>
  <c r="R21" i="24" s="1"/>
  <c r="D38" i="6"/>
  <c r="D48" i="6"/>
  <c r="R41" i="24" s="1"/>
  <c r="D58" i="6"/>
  <c r="R51" i="24" s="1"/>
  <c r="D71" i="6"/>
  <c r="R64" i="24" s="1"/>
  <c r="D75" i="6"/>
  <c r="R68" i="24" s="1"/>
  <c r="E10" i="6"/>
  <c r="S3" i="24" s="1"/>
  <c r="E18" i="6"/>
  <c r="S11" i="24" s="1"/>
  <c r="E28" i="6"/>
  <c r="S21" i="24" s="1"/>
  <c r="E38" i="6"/>
  <c r="S31" i="24" s="1"/>
  <c r="E48" i="6"/>
  <c r="S41" i="24" s="1"/>
  <c r="E58" i="6"/>
  <c r="S51" i="24" s="1"/>
  <c r="E71" i="6"/>
  <c r="E75" i="6"/>
  <c r="S68" i="24" s="1"/>
  <c r="F10" i="6"/>
  <c r="T3" i="24" s="1"/>
  <c r="F18" i="6"/>
  <c r="T11" i="24" s="1"/>
  <c r="F28" i="6"/>
  <c r="T21" i="24" s="1"/>
  <c r="F38" i="6"/>
  <c r="F48" i="6"/>
  <c r="T41" i="24" s="1"/>
  <c r="F58" i="6"/>
  <c r="T51" i="24" s="1"/>
  <c r="F71" i="6"/>
  <c r="F75" i="6"/>
  <c r="G71" i="6"/>
  <c r="U64" i="24" s="1"/>
  <c r="B85" i="6"/>
  <c r="B93" i="6"/>
  <c r="P85" i="24" s="1"/>
  <c r="B103" i="6"/>
  <c r="P95" i="24" s="1"/>
  <c r="B113" i="6"/>
  <c r="P105" i="24" s="1"/>
  <c r="B123" i="6"/>
  <c r="P115" i="24" s="1"/>
  <c r="B133" i="6"/>
  <c r="P125" i="24" s="1"/>
  <c r="B146" i="6"/>
  <c r="P138" i="24" s="1"/>
  <c r="B150" i="6"/>
  <c r="P142" i="24" s="1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Q8" i="24"/>
  <c r="R8" i="24"/>
  <c r="S8" i="24"/>
  <c r="T8" i="24"/>
  <c r="U8" i="24"/>
  <c r="Q9" i="24"/>
  <c r="R9" i="24"/>
  <c r="S9" i="24"/>
  <c r="T9" i="24"/>
  <c r="Q10" i="24"/>
  <c r="R10" i="24"/>
  <c r="S10" i="24"/>
  <c r="T10" i="24"/>
  <c r="U10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Q20" i="24"/>
  <c r="R20" i="24"/>
  <c r="S20" i="24"/>
  <c r="T20" i="24"/>
  <c r="Q22" i="24"/>
  <c r="R22" i="24"/>
  <c r="S22" i="24"/>
  <c r="T22" i="24"/>
  <c r="U22" i="24"/>
  <c r="Q23" i="24"/>
  <c r="R23" i="24"/>
  <c r="S23" i="24"/>
  <c r="T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Q31" i="24"/>
  <c r="R31" i="24"/>
  <c r="T31" i="24"/>
  <c r="Q32" i="24"/>
  <c r="R32" i="24"/>
  <c r="S32" i="24"/>
  <c r="T32" i="24"/>
  <c r="Q33" i="24"/>
  <c r="R33" i="24"/>
  <c r="S33" i="24"/>
  <c r="T33" i="24"/>
  <c r="U33" i="24"/>
  <c r="Q34" i="24"/>
  <c r="R34" i="24"/>
  <c r="S34" i="24"/>
  <c r="T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Q45" i="24"/>
  <c r="R45" i="24"/>
  <c r="S45" i="24"/>
  <c r="T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Q49" i="24"/>
  <c r="R49" i="24"/>
  <c r="S49" i="24"/>
  <c r="T49" i="24"/>
  <c r="Q50" i="24"/>
  <c r="R50" i="24"/>
  <c r="S50" i="24"/>
  <c r="T50" i="24"/>
  <c r="U50" i="24"/>
  <c r="Q52" i="24"/>
  <c r="R52" i="24"/>
  <c r="S52" i="24"/>
  <c r="T52" i="24"/>
  <c r="U52" i="24"/>
  <c r="Q53" i="24"/>
  <c r="R53" i="24"/>
  <c r="S53" i="24"/>
  <c r="T53" i="24"/>
  <c r="Q54" i="24"/>
  <c r="R54" i="24"/>
  <c r="S54" i="24"/>
  <c r="T54" i="24"/>
  <c r="R55" i="24"/>
  <c r="S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S64" i="24"/>
  <c r="T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T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Q73" i="24"/>
  <c r="R73" i="24"/>
  <c r="S73" i="24"/>
  <c r="T73" i="24"/>
  <c r="Q74" i="24"/>
  <c r="R74" i="24"/>
  <c r="S74" i="24"/>
  <c r="T74" i="24"/>
  <c r="U74" i="24"/>
  <c r="Q75" i="24"/>
  <c r="R75" i="24"/>
  <c r="S75" i="24"/>
  <c r="T75" i="24"/>
  <c r="U75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6" i="24"/>
  <c r="P57" i="24"/>
  <c r="P58" i="24"/>
  <c r="P59" i="24"/>
  <c r="P60" i="24"/>
  <c r="P61" i="24"/>
  <c r="P62" i="24"/>
  <c r="P63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4" i="20"/>
  <c r="U6" i="20"/>
  <c r="U8" i="20"/>
  <c r="U11" i="20"/>
  <c r="U13" i="20"/>
  <c r="U15" i="20"/>
  <c r="U17" i="20"/>
  <c r="U19" i="20"/>
  <c r="U24" i="20"/>
  <c r="U27" i="20"/>
  <c r="U28" i="20"/>
  <c r="U30" i="20"/>
  <c r="U33" i="20"/>
  <c r="G46" i="5"/>
  <c r="U38" i="20" s="1"/>
  <c r="G47" i="5"/>
  <c r="G48" i="5"/>
  <c r="U40" i="20" s="1"/>
  <c r="G49" i="5"/>
  <c r="U41" i="20" s="1"/>
  <c r="G50" i="5"/>
  <c r="U42" i="20" s="1"/>
  <c r="G51" i="5"/>
  <c r="U43" i="20" s="1"/>
  <c r="G52" i="5"/>
  <c r="U44" i="20" s="1"/>
  <c r="G53" i="5"/>
  <c r="U45" i="20" s="1"/>
  <c r="G55" i="5"/>
  <c r="U47" i="20" s="1"/>
  <c r="G56" i="5"/>
  <c r="U48" i="20" s="1"/>
  <c r="G57" i="5"/>
  <c r="U49" i="20" s="1"/>
  <c r="G58" i="5"/>
  <c r="U50" i="20" s="1"/>
  <c r="G60" i="5"/>
  <c r="U52" i="20" s="1"/>
  <c r="G61" i="5"/>
  <c r="U53" i="20" s="1"/>
  <c r="G62" i="5"/>
  <c r="U54" i="20" s="1"/>
  <c r="G63" i="5"/>
  <c r="U55" i="20" s="1"/>
  <c r="G68" i="5"/>
  <c r="U58" i="20" s="1"/>
  <c r="G73" i="5"/>
  <c r="U60" i="20" s="1"/>
  <c r="G74" i="5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Q57" i="20"/>
  <c r="R57" i="20"/>
  <c r="S57" i="20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P57" i="20"/>
  <c r="B45" i="5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B16" i="5"/>
  <c r="P10" i="20" s="1"/>
  <c r="B28" i="5"/>
  <c r="P29" i="20"/>
  <c r="P31" i="20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E6" i="1" s="1"/>
  <c r="F18" i="23"/>
  <c r="K6" i="3" s="1"/>
  <c r="E18" i="23"/>
  <c r="J6" i="3" s="1"/>
  <c r="D18" i="23"/>
  <c r="I6" i="3" s="1"/>
  <c r="F6" i="1"/>
  <c r="F5" i="13"/>
  <c r="E5" i="13"/>
  <c r="B5" i="13"/>
  <c r="E5" i="12"/>
  <c r="B5" i="12"/>
  <c r="F5" i="12"/>
  <c r="I25" i="23"/>
  <c r="D23" i="23"/>
  <c r="I23" i="23"/>
  <c r="H23" i="23"/>
  <c r="G23" i="23"/>
  <c r="F23" i="23"/>
  <c r="E23" i="23"/>
  <c r="G5" i="13"/>
  <c r="G5" i="12"/>
  <c r="C11" i="23"/>
  <c r="A2" i="11" s="1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W4" i="17" s="1"/>
  <c r="I8" i="3"/>
  <c r="W3" i="17" s="1"/>
  <c r="H14" i="3"/>
  <c r="V4" i="17" s="1"/>
  <c r="G14" i="3"/>
  <c r="U4" i="17" s="1"/>
  <c r="E14" i="3"/>
  <c r="S4" i="17" s="1"/>
  <c r="K9" i="3"/>
  <c r="K10" i="3"/>
  <c r="K11" i="3"/>
  <c r="K12" i="3"/>
  <c r="J8" i="3"/>
  <c r="X3" i="17" s="1"/>
  <c r="H8" i="3"/>
  <c r="G8" i="3"/>
  <c r="U3" i="17" s="1"/>
  <c r="E8" i="3"/>
  <c r="S3" i="17" s="1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S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P33" i="18" s="1"/>
  <c r="B63" i="4"/>
  <c r="B55" i="4"/>
  <c r="B53" i="4"/>
  <c r="B49" i="4"/>
  <c r="P27" i="18" s="1"/>
  <c r="B48" i="4"/>
  <c r="P26" i="18" s="1"/>
  <c r="B37" i="4"/>
  <c r="B29" i="4"/>
  <c r="P15" i="18" s="1"/>
  <c r="B17" i="4"/>
  <c r="B13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4" i="18"/>
  <c r="P35" i="18"/>
  <c r="P30" i="18"/>
  <c r="P28" i="18"/>
  <c r="P29" i="18"/>
  <c r="P20" i="18"/>
  <c r="P21" i="18"/>
  <c r="P23" i="18"/>
  <c r="P24" i="18"/>
  <c r="P16" i="18"/>
  <c r="P17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Q71" i="15" s="1"/>
  <c r="F27" i="1"/>
  <c r="Q76" i="15" s="1"/>
  <c r="F31" i="1"/>
  <c r="Q80" i="15" s="1"/>
  <c r="F38" i="1"/>
  <c r="Q87" i="15" s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P67" i="15" s="1"/>
  <c r="E23" i="1"/>
  <c r="P71" i="15" s="1"/>
  <c r="E27" i="1"/>
  <c r="P76" i="15" s="1"/>
  <c r="E31" i="1"/>
  <c r="P80" i="15" s="1"/>
  <c r="E38" i="1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9" i="1"/>
  <c r="C17" i="1"/>
  <c r="Q12" i="15" s="1"/>
  <c r="C25" i="1"/>
  <c r="Q20" i="15" s="1"/>
  <c r="C31" i="1"/>
  <c r="Q26" i="15" s="1"/>
  <c r="C38" i="1"/>
  <c r="Q34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Q36" i="18" s="1"/>
  <c r="D68" i="4"/>
  <c r="R36" i="18" s="1"/>
  <c r="C64" i="4"/>
  <c r="C72" i="4" s="1"/>
  <c r="D64" i="4"/>
  <c r="R33" i="18" s="1"/>
  <c r="C63" i="4"/>
  <c r="Q32" i="18" s="1"/>
  <c r="D63" i="4"/>
  <c r="C48" i="4"/>
  <c r="Q26" i="18" s="1"/>
  <c r="C55" i="4"/>
  <c r="D55" i="4"/>
  <c r="C53" i="4"/>
  <c r="D53" i="4"/>
  <c r="R30" i="18" s="1"/>
  <c r="D48" i="4"/>
  <c r="R26" i="18" s="1"/>
  <c r="C49" i="4"/>
  <c r="Q27" i="18" s="1"/>
  <c r="D49" i="4"/>
  <c r="R27" i="18" s="1"/>
  <c r="C29" i="4"/>
  <c r="Q15" i="18" s="1"/>
  <c r="D29" i="4"/>
  <c r="C40" i="4"/>
  <c r="D40" i="4"/>
  <c r="R22" i="18" s="1"/>
  <c r="C37" i="4"/>
  <c r="C44" i="4" s="1"/>
  <c r="Q25" i="18" s="1"/>
  <c r="D37" i="4"/>
  <c r="C17" i="4"/>
  <c r="Q9" i="18" s="1"/>
  <c r="C13" i="4"/>
  <c r="Q6" i="18" s="1"/>
  <c r="D13" i="4"/>
  <c r="R6" i="18" s="1"/>
  <c r="C13" i="2"/>
  <c r="D13" i="2"/>
  <c r="R8" i="16" s="1"/>
  <c r="E13" i="2"/>
  <c r="S8" i="16" s="1"/>
  <c r="F13" i="2"/>
  <c r="T8" i="16" s="1"/>
  <c r="G13" i="2"/>
  <c r="U8" i="16" s="1"/>
  <c r="H13" i="2"/>
  <c r="V8" i="16" s="1"/>
  <c r="B13" i="2"/>
  <c r="P8" i="16" s="1"/>
  <c r="C9" i="2"/>
  <c r="Q4" i="16" s="1"/>
  <c r="D9" i="2"/>
  <c r="R4" i="16"/>
  <c r="E9" i="2"/>
  <c r="S4" i="16" s="1"/>
  <c r="F9" i="2"/>
  <c r="G9" i="2"/>
  <c r="U4" i="16" s="1"/>
  <c r="H9" i="2"/>
  <c r="V4" i="16" s="1"/>
  <c r="B9" i="2"/>
  <c r="P4" i="16" s="1"/>
  <c r="Q30" i="18"/>
  <c r="Q22" i="18"/>
  <c r="R31" i="18"/>
  <c r="R19" i="18"/>
  <c r="R15" i="18"/>
  <c r="Q31" i="18"/>
  <c r="Q19" i="18"/>
  <c r="B21" i="9" l="1"/>
  <c r="P13" i="27" s="1"/>
  <c r="U18" i="27"/>
  <c r="G16" i="9"/>
  <c r="U9" i="27" s="1"/>
  <c r="F9" i="9"/>
  <c r="T2" i="27" s="1"/>
  <c r="G53" i="8"/>
  <c r="U45" i="26" s="1"/>
  <c r="U46" i="26"/>
  <c r="F9" i="8"/>
  <c r="T2" i="26" s="1"/>
  <c r="E9" i="8"/>
  <c r="S2" i="26" s="1"/>
  <c r="G150" i="6"/>
  <c r="U142" i="24" s="1"/>
  <c r="G133" i="6"/>
  <c r="U125" i="24" s="1"/>
  <c r="E84" i="6"/>
  <c r="S76" i="24" s="1"/>
  <c r="S85" i="24"/>
  <c r="G75" i="6"/>
  <c r="U68" i="24" s="1"/>
  <c r="G58" i="6"/>
  <c r="U51" i="24" s="1"/>
  <c r="G28" i="6"/>
  <c r="U21" i="24" s="1"/>
  <c r="G16" i="5"/>
  <c r="U10" i="20" s="1"/>
  <c r="C8" i="2"/>
  <c r="C47" i="1"/>
  <c r="Q42" i="15" s="1"/>
  <c r="E79" i="1"/>
  <c r="P119" i="15" s="1"/>
  <c r="K14" i="3"/>
  <c r="Y4" i="17" s="1"/>
  <c r="G18" i="6"/>
  <c r="U11" i="24" s="1"/>
  <c r="G48" i="6"/>
  <c r="U41" i="24" s="1"/>
  <c r="G93" i="6"/>
  <c r="U85" i="24" s="1"/>
  <c r="G123" i="6"/>
  <c r="U115" i="24" s="1"/>
  <c r="G44" i="8"/>
  <c r="U36" i="26" s="1"/>
  <c r="G61" i="8"/>
  <c r="U53" i="26" s="1"/>
  <c r="G9" i="9"/>
  <c r="U2" i="27" s="1"/>
  <c r="B8" i="2"/>
  <c r="B20" i="2" s="1"/>
  <c r="P13" i="16" s="1"/>
  <c r="D9" i="9"/>
  <c r="R2" i="27" s="1"/>
  <c r="F41" i="5"/>
  <c r="T34" i="20" s="1"/>
  <c r="F43" i="8"/>
  <c r="E43" i="8"/>
  <c r="S35" i="26" s="1"/>
  <c r="T9" i="27"/>
  <c r="R2" i="31"/>
  <c r="D72" i="4"/>
  <c r="D9" i="6"/>
  <c r="C9" i="6"/>
  <c r="T12" i="26"/>
  <c r="B30" i="11"/>
  <c r="P22" i="29" s="1"/>
  <c r="B47" i="1"/>
  <c r="B62" i="1" s="1"/>
  <c r="P54" i="15" s="1"/>
  <c r="H20" i="3"/>
  <c r="V5" i="17" s="1"/>
  <c r="R38" i="18"/>
  <c r="D74" i="4"/>
  <c r="R39" i="18" s="1"/>
  <c r="R32" i="18"/>
  <c r="B72" i="4"/>
  <c r="C5" i="12"/>
  <c r="U53" i="24"/>
  <c r="U44" i="24"/>
  <c r="U15" i="24"/>
  <c r="G38" i="6"/>
  <c r="U31" i="24" s="1"/>
  <c r="U89" i="24"/>
  <c r="G85" i="6"/>
  <c r="U77" i="24" s="1"/>
  <c r="D84" i="6"/>
  <c r="R76" i="24" s="1"/>
  <c r="C43" i="8"/>
  <c r="Q35" i="26" s="1"/>
  <c r="G21" i="9"/>
  <c r="U13" i="27" s="1"/>
  <c r="U4" i="27"/>
  <c r="E9" i="9"/>
  <c r="S2" i="27" s="1"/>
  <c r="B32" i="10"/>
  <c r="P23" i="28" s="1"/>
  <c r="E31" i="12"/>
  <c r="S23" i="30" s="1"/>
  <c r="B29" i="13"/>
  <c r="P22" i="31" s="1"/>
  <c r="G27" i="8"/>
  <c r="U20" i="26" s="1"/>
  <c r="G71" i="8"/>
  <c r="U63" i="26" s="1"/>
  <c r="B6" i="1"/>
  <c r="C65" i="5"/>
  <c r="Q56" i="20" s="1"/>
  <c r="E41" i="5"/>
  <c r="S34" i="20" s="1"/>
  <c r="R11" i="24"/>
  <c r="F9" i="6"/>
  <c r="T2" i="24" s="1"/>
  <c r="U127" i="24"/>
  <c r="R85" i="24"/>
  <c r="G103" i="6"/>
  <c r="U95" i="24" s="1"/>
  <c r="C84" i="6"/>
  <c r="Q76" i="24" s="1"/>
  <c r="U40" i="26"/>
  <c r="D43" i="8"/>
  <c r="R35" i="26" s="1"/>
  <c r="S12" i="26"/>
  <c r="C9" i="8"/>
  <c r="Q2" i="26" s="1"/>
  <c r="U21" i="27"/>
  <c r="F21" i="9"/>
  <c r="T13" i="27" s="1"/>
  <c r="R5" i="27"/>
  <c r="C9" i="9"/>
  <c r="Q2" i="27" s="1"/>
  <c r="C30" i="11"/>
  <c r="Q22" i="29" s="1"/>
  <c r="C31" i="12"/>
  <c r="Q23" i="30" s="1"/>
  <c r="Q2" i="31"/>
  <c r="G10" i="6"/>
  <c r="U3" i="24" s="1"/>
  <c r="G62" i="6"/>
  <c r="U55" i="24" s="1"/>
  <c r="G137" i="6"/>
  <c r="U129" i="24" s="1"/>
  <c r="G10" i="8"/>
  <c r="U3" i="26" s="1"/>
  <c r="G37" i="8"/>
  <c r="U30" i="26" s="1"/>
  <c r="D44" i="4"/>
  <c r="F79" i="1"/>
  <c r="Q119" i="15" s="1"/>
  <c r="Q33" i="18"/>
  <c r="D8" i="2"/>
  <c r="D20" i="2" s="1"/>
  <c r="R13" i="16" s="1"/>
  <c r="B44" i="4"/>
  <c r="K8" i="3"/>
  <c r="Q11" i="24"/>
  <c r="F84" i="6"/>
  <c r="T76" i="24" s="1"/>
  <c r="T45" i="26"/>
  <c r="Q12" i="26"/>
  <c r="D9" i="8"/>
  <c r="R2" i="26" s="1"/>
  <c r="U10" i="27"/>
  <c r="U2" i="29"/>
  <c r="F31" i="12"/>
  <c r="T23" i="30" s="1"/>
  <c r="G70" i="7"/>
  <c r="U3" i="25" s="1"/>
  <c r="G19" i="8"/>
  <c r="U12" i="26" s="1"/>
  <c r="B9" i="9"/>
  <c r="P2" i="27" s="1"/>
  <c r="G31" i="12"/>
  <c r="U23" i="30" s="1"/>
  <c r="B31" i="12"/>
  <c r="P23" i="30" s="1"/>
  <c r="S2" i="30"/>
  <c r="S2" i="31"/>
  <c r="D30" i="11"/>
  <c r="R22" i="29" s="1"/>
  <c r="F30" i="11"/>
  <c r="T22" i="29" s="1"/>
  <c r="E30" i="11"/>
  <c r="S22" i="29" s="1"/>
  <c r="E80" i="7"/>
  <c r="S4" i="25" s="1"/>
  <c r="A2" i="14"/>
  <c r="D5" i="12"/>
  <c r="G75" i="5"/>
  <c r="U62" i="20" s="1"/>
  <c r="G67" i="5"/>
  <c r="U57" i="20" s="1"/>
  <c r="G59" i="5"/>
  <c r="U51" i="20" s="1"/>
  <c r="B65" i="5"/>
  <c r="P56" i="20" s="1"/>
  <c r="G37" i="5"/>
  <c r="U31" i="20" s="1"/>
  <c r="F65" i="5"/>
  <c r="D65" i="5"/>
  <c r="R56" i="20" s="1"/>
  <c r="E65" i="5"/>
  <c r="S56" i="20" s="1"/>
  <c r="G45" i="5"/>
  <c r="U37" i="20" s="1"/>
  <c r="U3" i="20"/>
  <c r="G28" i="5"/>
  <c r="U22" i="20" s="1"/>
  <c r="D41" i="5"/>
  <c r="C41" i="5"/>
  <c r="B41" i="5"/>
  <c r="P34" i="20" s="1"/>
  <c r="P22" i="20"/>
  <c r="U2" i="25"/>
  <c r="J20" i="3"/>
  <c r="X5" i="17" s="1"/>
  <c r="B80" i="7"/>
  <c r="P4" i="25" s="1"/>
  <c r="H8" i="2"/>
  <c r="H20" i="2" s="1"/>
  <c r="V13" i="16" s="1"/>
  <c r="G8" i="2"/>
  <c r="F8" i="2"/>
  <c r="T3" i="16" s="1"/>
  <c r="T4" i="16"/>
  <c r="E8" i="2"/>
  <c r="S3" i="16" s="1"/>
  <c r="T14" i="16"/>
  <c r="C20" i="2"/>
  <c r="Q13" i="16" s="1"/>
  <c r="Q3" i="16"/>
  <c r="B11" i="4"/>
  <c r="P25" i="18"/>
  <c r="T35" i="26"/>
  <c r="Q38" i="18"/>
  <c r="C74" i="4"/>
  <c r="Q39" i="18" s="1"/>
  <c r="P38" i="18"/>
  <c r="B74" i="4"/>
  <c r="P39" i="18" s="1"/>
  <c r="S13" i="27"/>
  <c r="Q13" i="27"/>
  <c r="A2" i="8"/>
  <c r="A2" i="3"/>
  <c r="A2" i="7"/>
  <c r="A2" i="2"/>
  <c r="A2" i="6"/>
  <c r="A2" i="4"/>
  <c r="A2" i="9"/>
  <c r="A2" i="5"/>
  <c r="A2" i="1"/>
  <c r="B9" i="6"/>
  <c r="P2" i="24" s="1"/>
  <c r="C11" i="4"/>
  <c r="D57" i="4"/>
  <c r="D59" i="4" s="1"/>
  <c r="P12" i="15"/>
  <c r="E20" i="3"/>
  <c r="S5" i="17" s="1"/>
  <c r="G20" i="3"/>
  <c r="U5" i="17" s="1"/>
  <c r="A2" i="13"/>
  <c r="G54" i="5"/>
  <c r="U46" i="20" s="1"/>
  <c r="E9" i="6"/>
  <c r="C80" i="7"/>
  <c r="Q4" i="25" s="1"/>
  <c r="D80" i="7"/>
  <c r="R4" i="25" s="1"/>
  <c r="T16" i="27"/>
  <c r="R2" i="29"/>
  <c r="T12" i="29"/>
  <c r="P12" i="29"/>
  <c r="D31" i="12"/>
  <c r="R23" i="30" s="1"/>
  <c r="T21" i="30"/>
  <c r="P21" i="30"/>
  <c r="G29" i="13"/>
  <c r="U22" i="31" s="1"/>
  <c r="P12" i="31"/>
  <c r="Q8" i="16"/>
  <c r="Q4" i="15"/>
  <c r="E47" i="1"/>
  <c r="B57" i="4"/>
  <c r="B59" i="4" s="1"/>
  <c r="C57" i="4"/>
  <c r="C59" i="4" s="1"/>
  <c r="P19" i="18"/>
  <c r="P32" i="18"/>
  <c r="I20" i="3"/>
  <c r="W5" i="17" s="1"/>
  <c r="A2" i="12"/>
  <c r="U61" i="20"/>
  <c r="U39" i="20"/>
  <c r="S2" i="25"/>
  <c r="F80" i="7"/>
  <c r="T4" i="25" s="1"/>
  <c r="P16" i="27"/>
  <c r="U16" i="27"/>
  <c r="Q16" i="27"/>
  <c r="D21" i="9"/>
  <c r="U2" i="30"/>
  <c r="Q2" i="30"/>
  <c r="F29" i="13"/>
  <c r="T22" i="31" s="1"/>
  <c r="A2" i="10"/>
  <c r="V3" i="17"/>
  <c r="F47" i="1"/>
  <c r="P106" i="15"/>
  <c r="P37" i="20"/>
  <c r="E32" i="10"/>
  <c r="S23" i="28" s="1"/>
  <c r="G32" i="10"/>
  <c r="U23" i="28" s="1"/>
  <c r="F32" i="10"/>
  <c r="T23" i="28" s="1"/>
  <c r="C32" i="10"/>
  <c r="Q23" i="28" s="1"/>
  <c r="D32" i="10"/>
  <c r="R23" i="28" s="1"/>
  <c r="U2" i="28"/>
  <c r="B43" i="8"/>
  <c r="P35" i="26" s="1"/>
  <c r="B9" i="8"/>
  <c r="B84" i="6"/>
  <c r="P76" i="24" s="1"/>
  <c r="P3" i="25"/>
  <c r="Q3" i="25"/>
  <c r="K20" i="3" l="1"/>
  <c r="Y5" i="17" s="1"/>
  <c r="F33" i="9"/>
  <c r="T24" i="27" s="1"/>
  <c r="E33" i="9"/>
  <c r="S24" i="27" s="1"/>
  <c r="F77" i="8"/>
  <c r="T68" i="26" s="1"/>
  <c r="E77" i="8"/>
  <c r="S68" i="26" s="1"/>
  <c r="D77" i="8"/>
  <c r="R68" i="26" s="1"/>
  <c r="G84" i="6"/>
  <c r="U76" i="24" s="1"/>
  <c r="D159" i="6"/>
  <c r="R150" i="24" s="1"/>
  <c r="C159" i="6"/>
  <c r="Q150" i="24" s="1"/>
  <c r="R2" i="24"/>
  <c r="G9" i="6"/>
  <c r="Q2" i="24"/>
  <c r="G41" i="5"/>
  <c r="G42" i="5" s="1"/>
  <c r="U35" i="20" s="1"/>
  <c r="P3" i="16"/>
  <c r="R3" i="16"/>
  <c r="C62" i="1"/>
  <c r="Q54" i="15" s="1"/>
  <c r="P42" i="15"/>
  <c r="Y3" i="17"/>
  <c r="G9" i="8"/>
  <c r="U2" i="26" s="1"/>
  <c r="G80" i="7"/>
  <c r="U4" i="25" s="1"/>
  <c r="C77" i="8"/>
  <c r="Q68" i="26" s="1"/>
  <c r="C33" i="9"/>
  <c r="Q24" i="27" s="1"/>
  <c r="G33" i="9"/>
  <c r="U24" i="27" s="1"/>
  <c r="D11" i="4"/>
  <c r="R25" i="18"/>
  <c r="F159" i="6"/>
  <c r="T150" i="24" s="1"/>
  <c r="G43" i="8"/>
  <c r="U35" i="26" s="1"/>
  <c r="B33" i="9"/>
  <c r="P24" i="27" s="1"/>
  <c r="E70" i="5"/>
  <c r="T56" i="20"/>
  <c r="F70" i="5"/>
  <c r="R34" i="20"/>
  <c r="D70" i="5"/>
  <c r="Q34" i="20"/>
  <c r="C70" i="5"/>
  <c r="B70" i="5"/>
  <c r="V3" i="16"/>
  <c r="U3" i="16"/>
  <c r="G20" i="2"/>
  <c r="U13" i="16" s="1"/>
  <c r="F20" i="2"/>
  <c r="T13" i="16" s="1"/>
  <c r="E20" i="2"/>
  <c r="S13" i="16" s="1"/>
  <c r="F59" i="1"/>
  <c r="Q95" i="15"/>
  <c r="E59" i="1"/>
  <c r="P95" i="15"/>
  <c r="R13" i="27"/>
  <c r="D33" i="9"/>
  <c r="R24" i="27" s="1"/>
  <c r="E159" i="6"/>
  <c r="S150" i="24" s="1"/>
  <c r="S2" i="24"/>
  <c r="P5" i="18"/>
  <c r="B8" i="4"/>
  <c r="C8" i="4"/>
  <c r="Q5" i="18"/>
  <c r="G65" i="5"/>
  <c r="B77" i="8"/>
  <c r="P68" i="26" s="1"/>
  <c r="P2" i="26"/>
  <c r="B159" i="6"/>
  <c r="P150" i="24" s="1"/>
  <c r="G77" i="8" l="1"/>
  <c r="U68" i="26" s="1"/>
  <c r="G159" i="6"/>
  <c r="U150" i="24" s="1"/>
  <c r="U2" i="24"/>
  <c r="U34" i="20"/>
  <c r="D8" i="4"/>
  <c r="R5" i="18"/>
  <c r="F81" i="1"/>
  <c r="Q120" i="15" s="1"/>
  <c r="Q104" i="15"/>
  <c r="U56" i="20"/>
  <c r="G70" i="5"/>
  <c r="Q2" i="18"/>
  <c r="C21" i="4"/>
  <c r="B21" i="4"/>
  <c r="P2" i="18"/>
  <c r="E81" i="1"/>
  <c r="P120" i="15" s="1"/>
  <c r="P104" i="15"/>
  <c r="R2" i="18" l="1"/>
  <c r="D21" i="4"/>
  <c r="B23" i="4"/>
  <c r="P12" i="18"/>
  <c r="Q12" i="18"/>
  <c r="C23" i="4"/>
  <c r="D23" i="4" l="1"/>
  <c r="R12" i="18"/>
  <c r="C25" i="4"/>
  <c r="Q13" i="18"/>
  <c r="B25" i="4"/>
  <c r="P13" i="18"/>
  <c r="R13" i="18" l="1"/>
  <c r="D25" i="4"/>
  <c r="P14" i="18"/>
  <c r="B33" i="4"/>
  <c r="P18" i="18" s="1"/>
  <c r="C33" i="4"/>
  <c r="Q18" i="18" s="1"/>
  <c r="Q14" i="18"/>
  <c r="D33" i="4" l="1"/>
  <c r="R18" i="18" s="1"/>
  <c r="R14" i="18"/>
</calcChain>
</file>

<file path=xl/sharedStrings.xml><?xml version="1.0" encoding="utf-8"?>
<sst xmlns="http://schemas.openxmlformats.org/spreadsheetml/2006/main" count="4283" uniqueCount="3353">
  <si>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</si>
  <si>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</si>
  <si>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</si>
  <si>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</si>
  <si>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</si>
  <si>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</si>
  <si>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</si>
  <si>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</si>
  <si>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</si>
  <si>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</si>
  <si>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</si>
  <si>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</si>
  <si>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</si>
  <si>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</si>
  <si>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</si>
  <si>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</si>
  <si>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</si>
  <si>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</si>
  <si>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</si>
  <si>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</si>
  <si>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</si>
  <si>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</si>
  <si>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</si>
  <si>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</si>
  <si>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</si>
  <si>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</si>
  <si>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</si>
  <si>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</si>
  <si>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</si>
  <si>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</si>
  <si>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</si>
  <si>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</si>
  <si>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</si>
  <si>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</si>
  <si>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</si>
  <si>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</si>
  <si>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</si>
  <si>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</si>
  <si>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</si>
  <si>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</si>
  <si>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</si>
  <si>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</si>
  <si>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</si>
  <si>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</si>
  <si>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</si>
  <si>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</si>
  <si>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</si>
  <si>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</si>
  <si>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</si>
  <si>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</si>
  <si>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</si>
  <si>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</si>
  <si>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</si>
  <si>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</si>
  <si>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</si>
  <si>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</si>
  <si>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</si>
  <si>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</si>
  <si>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</si>
  <si>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</si>
  <si>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</si>
  <si>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</si>
  <si>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</si>
  <si>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</si>
  <si>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</si>
  <si>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</si>
  <si>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</si>
  <si>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</si>
  <si>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</si>
  <si>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</si>
  <si>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</si>
  <si>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</si>
  <si>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</si>
  <si>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</si>
  <si>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</si>
  <si>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</si>
  <si>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</si>
  <si>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</si>
  <si>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</si>
  <si>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</si>
  <si>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</si>
  <si>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</si>
  <si>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</si>
  <si>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</si>
  <si>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</si>
  <si>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</si>
  <si>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</si>
  <si>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</si>
  <si>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</si>
  <si>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</si>
  <si>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</si>
  <si>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</si>
  <si>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</si>
  <si>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</si>
  <si>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</si>
  <si>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</si>
  <si>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</si>
  <si>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</si>
  <si>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</si>
  <si>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</si>
  <si>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</si>
  <si>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</si>
  <si>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</si>
  <si>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</si>
  <si>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</si>
  <si>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</si>
  <si>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</si>
  <si>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</si>
  <si>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</si>
  <si>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</si>
  <si>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</si>
  <si>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</si>
  <si>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</si>
  <si>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</si>
  <si>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</si>
  <si>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</si>
  <si>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</si>
  <si>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</si>
  <si>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</si>
  <si>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</si>
  <si>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</si>
  <si>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</si>
  <si>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</si>
  <si>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</si>
  <si>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</si>
  <si>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</si>
  <si>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</si>
  <si>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</si>
  <si>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</si>
  <si>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</si>
  <si>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</si>
  <si>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</si>
  <si>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</si>
  <si>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</si>
  <si>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</si>
  <si>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</si>
  <si>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</si>
  <si>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</si>
  <si>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</si>
  <si>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</si>
  <si>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</si>
  <si>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</si>
  <si>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</si>
  <si>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</si>
  <si>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</si>
  <si>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</si>
  <si>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</si>
  <si>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</si>
  <si>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</si>
  <si>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</si>
  <si>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</si>
  <si>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</si>
  <si>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</si>
  <si>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</si>
  <si>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</si>
  <si>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</si>
  <si>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</si>
  <si>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</si>
  <si>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</si>
  <si>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</si>
  <si>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</si>
  <si>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</si>
  <si>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</si>
  <si>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</si>
  <si>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</si>
  <si>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</si>
  <si>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</si>
  <si>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</si>
  <si>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</si>
  <si>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</si>
  <si>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</si>
  <si>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</si>
  <si>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</si>
  <si>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</si>
  <si>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</si>
  <si>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</si>
  <si>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</si>
  <si>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</si>
  <si>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</si>
  <si>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</si>
  <si>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</si>
  <si>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</si>
  <si>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</si>
  <si>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</si>
  <si>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</si>
  <si>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</si>
  <si>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</si>
  <si>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</si>
  <si>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</si>
  <si>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</si>
  <si>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</si>
  <si>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</si>
  <si>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</si>
  <si>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</si>
  <si>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</si>
  <si>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</si>
  <si>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</si>
  <si>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</si>
  <si>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</si>
  <si>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</si>
  <si>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</si>
  <si>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</si>
  <si>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</si>
  <si>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</si>
  <si>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</si>
  <si>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</si>
  <si>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</si>
  <si>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</si>
  <si>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</si>
  <si>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</si>
  <si>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</si>
  <si>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</si>
  <si>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</si>
  <si>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</si>
  <si>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</si>
  <si>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</si>
  <si>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</si>
  <si>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</si>
  <si>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</si>
  <si>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</si>
  <si>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</si>
  <si>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</si>
  <si>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</si>
  <si>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</si>
  <si>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</si>
  <si>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</si>
  <si>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</si>
  <si>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</si>
  <si>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</si>
  <si>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</si>
  <si>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</si>
  <si>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</si>
  <si>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</si>
  <si>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</si>
  <si>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</si>
  <si>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</si>
  <si>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</si>
  <si>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</si>
  <si>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</si>
  <si>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</si>
  <si>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</si>
  <si>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</si>
  <si>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</si>
  <si>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</si>
  <si>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</si>
  <si>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</si>
  <si>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</si>
  <si>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</si>
  <si>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</si>
  <si>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</si>
  <si>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</si>
  <si>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</si>
  <si>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</si>
  <si>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</si>
  <si>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</si>
  <si>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</si>
  <si>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</si>
  <si>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</si>
  <si>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</si>
  <si>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</si>
  <si>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</si>
  <si>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</si>
  <si>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</si>
  <si>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</si>
  <si>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</si>
  <si>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</si>
  <si>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</si>
  <si>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</si>
  <si>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</si>
  <si>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</si>
  <si>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</si>
  <si>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</si>
  <si>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</si>
  <si>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</si>
  <si>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</si>
  <si>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</si>
  <si>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</si>
  <si>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</si>
  <si>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</si>
  <si>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</si>
  <si>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</si>
  <si>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</si>
  <si>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</si>
  <si>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</si>
  <si>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</si>
  <si>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</si>
  <si>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</si>
  <si>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</si>
  <si>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</si>
  <si>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</si>
  <si>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</si>
  <si>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</si>
  <si>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</si>
  <si>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</si>
  <si>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</si>
  <si>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</si>
  <si>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</si>
  <si>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</si>
  <si>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</si>
  <si>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</si>
  <si>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</si>
  <si>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</si>
  <si>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</si>
  <si>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</si>
  <si>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</si>
  <si>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</si>
  <si>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</si>
  <si>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</si>
  <si>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</si>
  <si>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</si>
  <si>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</si>
  <si>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</si>
  <si>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</si>
  <si>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</si>
  <si>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</si>
  <si>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</si>
  <si>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</si>
  <si>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</si>
  <si>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</si>
  <si>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</si>
  <si>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</si>
  <si>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</si>
  <si>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</si>
  <si>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</si>
  <si>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</si>
  <si>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</si>
  <si>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</si>
  <si>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</si>
  <si>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</si>
  <si>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</si>
  <si>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</si>
  <si>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</si>
  <si>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</si>
  <si>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</si>
  <si>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</si>
  <si>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</si>
  <si>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</si>
  <si>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</si>
  <si>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</si>
  <si>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</si>
  <si>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</si>
  <si>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</si>
  <si>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</si>
  <si>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</si>
  <si>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</si>
  <si>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</si>
  <si>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</si>
  <si>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</si>
  <si>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</si>
  <si>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</si>
  <si>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</si>
  <si>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</si>
  <si>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</si>
  <si>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</si>
  <si>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</si>
  <si>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</si>
  <si>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</si>
  <si>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</si>
  <si>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</si>
  <si>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</si>
  <si>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</si>
  <si>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</si>
  <si>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</si>
  <si>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</si>
  <si>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</si>
  <si>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</si>
  <si>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</si>
  <si>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</si>
  <si>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</si>
  <si>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</si>
  <si>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</si>
  <si>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</si>
  <si>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</si>
  <si>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</si>
  <si>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</si>
  <si>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</si>
  <si>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</si>
  <si>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</si>
  <si>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</si>
  <si>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</si>
  <si>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</si>
  <si>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</si>
  <si>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</si>
  <si>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</si>
  <si>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</si>
  <si>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</si>
  <si>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</si>
  <si>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</si>
  <si>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</si>
  <si>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</si>
  <si>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</si>
  <si>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</si>
  <si>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</si>
  <si>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</si>
  <si>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</si>
  <si>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</si>
  <si>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</si>
  <si>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</si>
  <si>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</si>
  <si>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</si>
  <si>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</si>
  <si>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</si>
  <si>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</si>
  <si>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</si>
  <si>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</si>
  <si>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</si>
  <si>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</si>
  <si>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</si>
  <si>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</si>
  <si>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</si>
  <si>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</si>
  <si>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</si>
  <si>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</si>
  <si>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</si>
  <si>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</si>
  <si>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</si>
  <si>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</si>
  <si>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</si>
  <si>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</si>
  <si>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</si>
  <si>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</si>
  <si>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</si>
  <si>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</si>
  <si>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</si>
  <si>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</si>
  <si>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</si>
  <si>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</si>
  <si>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</si>
  <si>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</si>
  <si>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</si>
  <si>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</si>
  <si>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</si>
  <si>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</si>
  <si>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</si>
  <si>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</si>
  <si>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</si>
  <si>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</si>
  <si>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</si>
  <si>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</si>
  <si>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</si>
  <si>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</si>
  <si>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</si>
  <si>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</si>
  <si>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</si>
  <si>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</si>
  <si>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</si>
  <si>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</si>
  <si>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</si>
  <si>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</si>
  <si>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</si>
  <si>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</si>
  <si>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</si>
  <si>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</si>
  <si>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</si>
  <si>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</si>
  <si>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</si>
  <si>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</si>
  <si>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</si>
  <si>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</si>
  <si>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</si>
  <si>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</si>
  <si>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</si>
  <si>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</si>
  <si>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</si>
  <si>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</si>
  <si>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</si>
  <si>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</si>
  <si>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</si>
  <si>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</si>
  <si>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</si>
  <si>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</si>
  <si>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</si>
  <si>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</si>
  <si>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</si>
  <si>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</si>
  <si>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</si>
  <si>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</si>
  <si>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</si>
  <si>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</si>
  <si>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</si>
  <si>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</si>
  <si>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</si>
  <si>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</si>
  <si>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</si>
  <si>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</si>
  <si>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</si>
  <si>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</si>
  <si>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</si>
  <si>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</si>
  <si>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</si>
  <si>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</si>
  <si>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</si>
  <si>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</si>
  <si>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</si>
  <si>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</si>
  <si>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</si>
  <si>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</si>
  <si>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</si>
  <si>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</si>
  <si>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</si>
  <si>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</si>
  <si>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</si>
  <si>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</si>
  <si>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</si>
  <si>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</si>
  <si>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</si>
  <si>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</si>
  <si>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</si>
  <si>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</si>
  <si>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</si>
  <si>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</si>
  <si>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</si>
  <si>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</si>
  <si>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</si>
  <si>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</si>
  <si>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</si>
  <si>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</si>
  <si>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</si>
  <si>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</si>
  <si>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</si>
  <si>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</si>
  <si>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</si>
  <si>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</si>
  <si>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</si>
  <si>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</si>
  <si>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</si>
  <si>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</si>
  <si>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</si>
  <si>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</si>
  <si>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</si>
  <si>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</si>
  <si>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</si>
  <si>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</si>
  <si>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</si>
  <si>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</si>
  <si>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</si>
  <si>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</si>
  <si>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</si>
  <si>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</si>
  <si>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</si>
  <si>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</si>
  <si>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</si>
  <si>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</si>
  <si>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</si>
  <si>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</si>
  <si>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</si>
  <si>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</si>
  <si>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</si>
  <si>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</si>
  <si>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</si>
  <si>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</si>
  <si>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</si>
  <si>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</si>
  <si>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</si>
  <si>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</si>
  <si>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</si>
  <si>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</si>
  <si>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</si>
  <si>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</si>
  <si>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</si>
  <si>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</si>
  <si>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</si>
  <si>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</si>
  <si>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</si>
  <si>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</si>
  <si>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</si>
  <si>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</si>
  <si>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</si>
  <si>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</si>
  <si>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</si>
  <si>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</si>
  <si>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</si>
  <si>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</si>
  <si>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</si>
  <si>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</si>
  <si>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</si>
  <si>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</si>
  <si>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</si>
  <si>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</si>
  <si>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</si>
  <si>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</si>
  <si>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</si>
  <si>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</si>
  <si>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</si>
  <si>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</si>
  <si>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</si>
  <si>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</si>
  <si>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</si>
  <si>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</si>
  <si>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</si>
  <si>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</si>
  <si>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</si>
  <si>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</si>
  <si>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</si>
  <si>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</si>
  <si>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</si>
  <si>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</si>
  <si>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</si>
  <si>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</si>
  <si>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</si>
  <si>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</si>
  <si>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</si>
  <si>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</si>
  <si>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</si>
  <si>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</si>
  <si>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</si>
  <si>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</si>
  <si>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</si>
  <si>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</si>
  <si>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</si>
  <si>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</si>
  <si>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</si>
  <si>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</si>
  <si>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</si>
  <si>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</si>
  <si>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</si>
  <si>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</si>
  <si>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</si>
  <si>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</si>
  <si>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</si>
  <si>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</si>
  <si>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</si>
  <si>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</si>
  <si>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</si>
  <si>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</si>
  <si>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</si>
  <si>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</si>
  <si>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</si>
  <si>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</si>
  <si>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</si>
  <si>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</si>
  <si>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</si>
  <si>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</si>
  <si>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</si>
  <si>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</si>
  <si>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</si>
  <si>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</si>
  <si>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</si>
  <si>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</si>
  <si>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</si>
  <si>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</si>
  <si>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</si>
  <si>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</si>
  <si>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</si>
  <si>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</si>
  <si>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</si>
  <si>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</si>
  <si>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</si>
  <si>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</si>
  <si>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</si>
  <si>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</si>
  <si>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</si>
  <si>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</si>
  <si>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</si>
  <si>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</si>
  <si>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</si>
  <si>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</si>
  <si>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</si>
  <si>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</si>
  <si>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</si>
  <si>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</si>
  <si>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</si>
  <si>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</si>
  <si>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</si>
  <si>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</si>
  <si>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</si>
  <si>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</si>
  <si>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</si>
  <si>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</si>
  <si>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</si>
  <si>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</si>
  <si>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</si>
  <si>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</si>
  <si>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</si>
  <si>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</si>
  <si>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</si>
  <si>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</si>
  <si>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</si>
  <si>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</si>
  <si>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</si>
  <si>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</si>
  <si>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</si>
  <si>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</si>
  <si>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</si>
  <si>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</si>
  <si>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</si>
  <si>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</si>
  <si>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</si>
  <si>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</si>
  <si>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</si>
  <si>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</si>
  <si>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</si>
  <si>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</si>
  <si>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</si>
  <si>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</si>
  <si>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</si>
  <si>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</si>
  <si>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</si>
  <si>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</si>
  <si>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</si>
  <si>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</si>
  <si>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</si>
  <si>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</si>
  <si>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</si>
  <si>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</si>
  <si>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</si>
  <si>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</si>
  <si>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</si>
  <si>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</si>
  <si>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</si>
  <si>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</si>
  <si>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</si>
  <si>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</si>
  <si>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</si>
  <si>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</si>
  <si>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</si>
  <si>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</si>
  <si>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</si>
  <si>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</si>
  <si>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</si>
  <si>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</si>
  <si>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</si>
  <si>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</si>
  <si>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</si>
  <si>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</si>
  <si>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</si>
  <si>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</si>
  <si>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</si>
  <si>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</si>
  <si>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</si>
  <si>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</si>
  <si>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</si>
  <si>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</si>
  <si>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</si>
  <si>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</si>
  <si>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</si>
  <si>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</si>
  <si>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</si>
  <si>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</si>
  <si>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</si>
  <si>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</si>
  <si>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</si>
  <si>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</si>
  <si>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</si>
  <si>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</si>
  <si>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</si>
  <si>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</si>
  <si>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</si>
  <si>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</si>
  <si>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</si>
  <si>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</si>
  <si>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</si>
  <si>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</si>
  <si>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</si>
  <si>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</si>
  <si>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</si>
  <si>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</si>
  <si>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</si>
  <si>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</si>
  <si>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</si>
  <si>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</si>
  <si>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</si>
  <si>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</si>
  <si>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</si>
  <si>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</si>
  <si>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</si>
  <si>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</si>
  <si>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</si>
  <si>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</si>
  <si>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</si>
  <si>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</si>
  <si>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</si>
  <si>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</si>
  <si>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</si>
  <si>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</si>
  <si>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</si>
  <si>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</si>
  <si>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</si>
  <si>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</si>
  <si>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</si>
  <si>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</si>
  <si>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</si>
  <si>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</si>
  <si>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</si>
  <si>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</si>
  <si>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</si>
  <si>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</si>
  <si>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</si>
  <si>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</si>
  <si>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</si>
  <si>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</si>
  <si>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</si>
  <si>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</si>
  <si>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</si>
  <si>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</si>
  <si>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</si>
  <si>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</si>
  <si>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</si>
  <si>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</si>
  <si>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</si>
  <si>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</si>
  <si>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</si>
  <si>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</si>
  <si>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</si>
  <si>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</si>
  <si>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</si>
  <si>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</si>
  <si>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</si>
  <si>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</si>
  <si>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</si>
  <si>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</si>
  <si>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</si>
  <si>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</si>
  <si>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</si>
  <si>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</si>
  <si>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</si>
  <si>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</si>
  <si>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</si>
  <si>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</si>
  <si>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</si>
  <si>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</si>
  <si>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</si>
  <si>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</si>
  <si>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</si>
  <si>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</si>
  <si>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</si>
  <si>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</si>
  <si>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</si>
  <si>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</si>
  <si>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</si>
  <si>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</si>
  <si>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</si>
  <si>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</si>
  <si>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</si>
  <si>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</si>
  <si>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</si>
  <si>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</si>
  <si>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</si>
  <si>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</si>
  <si>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</si>
  <si>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</si>
  <si>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</si>
  <si>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</si>
  <si>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</si>
  <si>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</si>
  <si>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</si>
  <si>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</si>
  <si>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</si>
  <si>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</si>
  <si>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</si>
  <si>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</si>
  <si>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</si>
  <si>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</si>
  <si>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</si>
  <si>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</si>
  <si>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</si>
  <si>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</si>
  <si>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</si>
  <si>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</si>
  <si>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</si>
  <si>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</si>
  <si>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</si>
  <si>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</si>
  <si>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</si>
  <si>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</si>
  <si>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</si>
  <si>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</si>
  <si>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</si>
  <si>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</si>
  <si>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</si>
  <si>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</si>
  <si>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</si>
  <si>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</si>
  <si>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</si>
  <si>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</si>
  <si>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</si>
  <si>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</si>
  <si>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</si>
  <si>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</si>
  <si>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</si>
  <si>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</si>
  <si>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</si>
  <si>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</si>
  <si>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</si>
  <si>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</si>
  <si>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</si>
  <si>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</si>
  <si>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</si>
  <si>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</si>
  <si>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</si>
  <si>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</si>
  <si>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</si>
  <si>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</si>
  <si>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</si>
  <si>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</si>
  <si>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</si>
  <si>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</si>
  <si>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</si>
  <si>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</si>
  <si>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</si>
  <si>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</si>
  <si>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</si>
  <si>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</si>
  <si>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</si>
  <si>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</si>
  <si>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</si>
  <si>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</si>
  <si>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</si>
  <si>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</si>
  <si>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</si>
  <si>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</si>
  <si>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</si>
  <si>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</si>
  <si>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</si>
  <si>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</si>
  <si>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</si>
  <si>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</si>
  <si>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</si>
  <si>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</si>
  <si>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</si>
  <si>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</si>
  <si>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</si>
  <si>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</si>
  <si>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</si>
  <si>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</si>
  <si>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</si>
  <si>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</si>
  <si>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</si>
  <si>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</si>
  <si>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</si>
  <si>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</si>
  <si>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</si>
  <si>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</si>
  <si>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</si>
  <si>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</si>
  <si>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</si>
  <si>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</si>
  <si>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</si>
  <si>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</si>
  <si>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</si>
  <si>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</si>
  <si>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</si>
  <si>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</si>
  <si>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</si>
  <si>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</si>
  <si>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</si>
  <si>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</si>
  <si>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</si>
  <si>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</si>
  <si>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</si>
  <si>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</si>
  <si>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</si>
  <si>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</si>
  <si>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</si>
  <si>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</si>
  <si>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</si>
  <si>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</si>
  <si>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</si>
  <si>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</si>
  <si>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</si>
  <si>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</si>
  <si>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</si>
  <si>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</si>
  <si>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</si>
  <si>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</si>
  <si>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</si>
  <si>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</si>
  <si>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</si>
  <si>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</si>
  <si>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</si>
  <si>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</si>
  <si>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</si>
  <si>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</si>
  <si>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</si>
  <si>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</si>
  <si>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</si>
  <si>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</si>
  <si>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</si>
  <si>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</si>
  <si>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</si>
  <si>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</si>
  <si>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</si>
  <si>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</si>
  <si>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</si>
  <si>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</si>
  <si>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</si>
  <si>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</si>
  <si>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</si>
  <si>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</si>
  <si>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</si>
  <si>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</si>
  <si>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</si>
  <si>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</si>
  <si>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</si>
  <si>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</si>
  <si>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</si>
  <si>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</si>
  <si>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</si>
  <si>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</si>
  <si>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</si>
  <si>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</si>
  <si>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</si>
  <si>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</si>
  <si>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</si>
  <si>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</si>
  <si>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</si>
  <si>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</si>
  <si>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</si>
  <si>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</si>
  <si>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</si>
  <si>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</si>
  <si>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</si>
  <si>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</si>
  <si>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</si>
  <si>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</si>
  <si>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</si>
  <si>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</si>
  <si>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</si>
  <si>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</si>
  <si>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</si>
  <si>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</si>
  <si>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</si>
  <si>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</si>
  <si>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</si>
  <si>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</si>
  <si>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</si>
  <si>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</si>
  <si>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</si>
  <si>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</si>
  <si>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</si>
  <si>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</si>
  <si>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</si>
  <si>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</si>
  <si>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</si>
  <si>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</si>
  <si>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</si>
  <si>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</si>
  <si>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</si>
  <si>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</si>
  <si>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</si>
  <si>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</si>
  <si>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</si>
  <si>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</si>
  <si>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</si>
  <si>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</si>
  <si>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</si>
  <si>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</si>
  <si>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</si>
  <si>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</si>
  <si>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</si>
  <si>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</si>
  <si>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</si>
  <si>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</si>
  <si>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</si>
  <si>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</si>
  <si>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</si>
  <si>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</si>
  <si>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</si>
  <si>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</si>
  <si>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</si>
  <si>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</si>
  <si>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</si>
  <si>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</si>
  <si>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</si>
  <si>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</si>
  <si>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</si>
  <si>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</si>
  <si>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</si>
  <si>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</si>
  <si>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</si>
  <si>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</si>
  <si>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</si>
  <si>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</si>
  <si>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</si>
  <si>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</si>
  <si>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</si>
  <si>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</si>
  <si>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</si>
  <si>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</si>
  <si>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</si>
  <si>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</si>
  <si>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</si>
  <si>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</si>
  <si>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</si>
  <si>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</si>
  <si>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</si>
  <si>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</si>
  <si>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</si>
  <si>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</si>
  <si>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</si>
  <si>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</si>
  <si>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</si>
  <si>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</si>
  <si>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</si>
  <si>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</si>
  <si>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</si>
  <si>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</si>
  <si>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</si>
  <si>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</si>
  <si>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</si>
  <si>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</si>
  <si>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</si>
  <si>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</si>
  <si>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</si>
  <si>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</si>
  <si>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</si>
  <si>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</si>
  <si>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</si>
  <si>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</si>
  <si>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</si>
  <si>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</si>
  <si>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</si>
  <si>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</si>
  <si>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</si>
  <si>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</si>
  <si>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</si>
  <si>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</si>
  <si>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</si>
  <si>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</si>
  <si>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</si>
  <si>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</si>
  <si>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</si>
  <si>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</si>
  <si>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</si>
  <si>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</si>
  <si>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</si>
  <si>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</si>
  <si>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</si>
  <si>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</si>
  <si>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</si>
  <si>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</si>
  <si>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</si>
  <si>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</si>
  <si>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</si>
  <si>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</si>
  <si>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</si>
  <si>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</si>
  <si>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</si>
  <si>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</si>
  <si>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</si>
  <si>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</si>
  <si>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</si>
  <si>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</si>
  <si>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</si>
  <si>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</si>
  <si>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</si>
  <si>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</si>
  <si>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</si>
  <si>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</si>
  <si>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</si>
  <si>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</si>
  <si>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</si>
  <si>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</si>
  <si>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</si>
  <si>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</si>
  <si>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</si>
  <si>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</si>
  <si>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</si>
  <si>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</si>
  <si>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</si>
  <si>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</si>
  <si>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</si>
  <si>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</si>
  <si>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</si>
  <si>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</si>
  <si>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</si>
  <si>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</si>
  <si>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</si>
  <si>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</si>
  <si>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</si>
  <si>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</si>
  <si>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</si>
  <si>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</si>
  <si>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</si>
  <si>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</si>
  <si>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</si>
  <si>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</si>
  <si>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</si>
  <si>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</si>
  <si>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</si>
  <si>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</si>
  <si>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</si>
  <si>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</si>
  <si>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</si>
  <si>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</si>
  <si>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</si>
  <si>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</si>
  <si>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</si>
  <si>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</si>
  <si>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</si>
  <si>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</si>
  <si>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</si>
  <si>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</si>
  <si>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</si>
  <si>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</si>
  <si>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</si>
  <si>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</si>
  <si>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</si>
  <si>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</si>
  <si>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</si>
  <si>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</si>
  <si>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</si>
  <si>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</si>
  <si>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</si>
  <si>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</si>
  <si>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</si>
  <si>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</si>
  <si>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</si>
  <si>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</si>
  <si>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</si>
  <si>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</si>
  <si>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</si>
  <si>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</si>
  <si>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</si>
  <si>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</si>
  <si>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</si>
  <si>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</si>
  <si>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</si>
  <si>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</si>
  <si>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</si>
  <si>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</si>
  <si>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</si>
  <si>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</si>
  <si>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</si>
  <si>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</si>
  <si>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</si>
  <si>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</si>
  <si>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</si>
  <si>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</si>
  <si>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</si>
  <si>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</si>
  <si>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</si>
  <si>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</si>
  <si>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</si>
  <si>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</si>
  <si>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</si>
  <si>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</si>
  <si>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</si>
  <si>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</si>
  <si>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</si>
  <si>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</si>
  <si>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</si>
  <si>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</si>
  <si>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</si>
  <si>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</si>
  <si>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</si>
  <si>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</si>
  <si>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</si>
  <si>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</si>
  <si>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</si>
  <si>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</si>
  <si>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</si>
  <si>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</si>
  <si>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</si>
  <si>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</si>
  <si>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</si>
  <si>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</si>
  <si>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</si>
  <si>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</si>
  <si>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</si>
  <si>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</si>
  <si>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</si>
  <si>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</si>
  <si>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</si>
  <si>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</si>
  <si>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</si>
  <si>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</si>
  <si>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</si>
  <si>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</si>
  <si>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</si>
  <si>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</si>
  <si>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</si>
  <si>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</si>
  <si>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</si>
  <si>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</si>
  <si>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</si>
  <si>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</si>
  <si>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</si>
  <si>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</si>
  <si>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</si>
  <si>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</si>
  <si>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</si>
  <si>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</si>
  <si>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</si>
  <si>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</si>
  <si>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</si>
  <si>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</si>
  <si>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</si>
  <si>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</si>
  <si>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</si>
  <si>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</si>
  <si>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</si>
  <si>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</si>
  <si>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</si>
  <si>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</si>
  <si>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</si>
  <si>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</si>
  <si>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</si>
  <si>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</si>
  <si>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</si>
  <si>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</si>
  <si>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</si>
  <si>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</si>
  <si>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</si>
  <si>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</si>
  <si>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</si>
  <si>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</si>
  <si>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</si>
  <si>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</si>
  <si>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</si>
  <si>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</si>
  <si>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</si>
  <si>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</si>
  <si>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</si>
  <si>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</si>
  <si>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</si>
  <si>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</si>
  <si>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</si>
  <si>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</si>
  <si>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</si>
  <si>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</si>
  <si>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</si>
  <si>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</si>
  <si>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</si>
  <si>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</si>
  <si>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</si>
  <si>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</si>
  <si>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</si>
  <si>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</si>
  <si>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</si>
  <si>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</si>
  <si>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</si>
  <si>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</si>
  <si>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</si>
  <si>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</si>
  <si>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</si>
  <si>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</si>
  <si>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</si>
  <si>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</si>
  <si>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</si>
  <si>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</si>
  <si>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</si>
  <si>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</si>
  <si>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</si>
  <si>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</si>
  <si>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</si>
  <si>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</si>
  <si>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</si>
  <si>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</si>
  <si>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</si>
  <si>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</si>
  <si>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</si>
  <si>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</si>
  <si>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</si>
  <si>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</si>
  <si>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</si>
  <si>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</si>
  <si>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</si>
  <si>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</si>
  <si>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</si>
  <si>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</si>
  <si>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</si>
  <si>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</si>
  <si>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</si>
  <si>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</si>
  <si>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</si>
  <si>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</si>
  <si>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</si>
  <si>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</si>
  <si>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</si>
  <si>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</si>
  <si>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</si>
  <si>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</si>
  <si>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</si>
  <si>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</si>
  <si>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</si>
  <si>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</si>
  <si>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</si>
  <si>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</si>
  <si>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</si>
  <si>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</si>
  <si>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</si>
  <si>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</si>
  <si>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</si>
  <si>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</si>
  <si>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</si>
  <si>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</si>
  <si>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</si>
  <si>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</si>
  <si>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</si>
  <si>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</si>
  <si>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</si>
  <si>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</si>
  <si>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</si>
  <si>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</si>
  <si>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</si>
  <si>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</si>
  <si>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</si>
  <si>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</si>
  <si>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</si>
  <si>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</si>
  <si>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</si>
  <si>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</si>
  <si>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</si>
  <si>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</si>
  <si>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</si>
  <si>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</si>
  <si>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</si>
  <si>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</si>
  <si>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</si>
  <si>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</si>
  <si>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</si>
  <si>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</si>
  <si>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</si>
  <si>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</si>
  <si>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</si>
  <si>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</si>
  <si>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</si>
  <si>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</si>
  <si>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</si>
  <si>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</si>
  <si>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</si>
  <si>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</si>
  <si>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</si>
  <si>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</si>
  <si>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</si>
  <si>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</si>
  <si>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</si>
  <si>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</si>
  <si>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</si>
  <si>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</si>
  <si>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</si>
  <si>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</si>
  <si>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</si>
  <si>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</si>
  <si>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</si>
  <si>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</si>
  <si>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</si>
  <si>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</si>
  <si>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</si>
  <si>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</si>
  <si>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</si>
  <si>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</si>
  <si>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</si>
  <si>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</si>
  <si>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</si>
  <si>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</si>
  <si>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</si>
  <si>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</si>
  <si>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</si>
  <si>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</si>
  <si>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</si>
  <si>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</si>
  <si>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</si>
  <si>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</si>
  <si>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</si>
  <si>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</si>
  <si>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</si>
  <si>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</si>
  <si>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</si>
  <si>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</si>
  <si>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</si>
  <si>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</si>
  <si>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</si>
  <si>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</si>
  <si>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</si>
  <si>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</si>
  <si>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</si>
  <si>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</si>
  <si>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</si>
  <si>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</si>
  <si>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</si>
  <si>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</si>
  <si>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</si>
  <si>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</si>
  <si>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</si>
  <si>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</si>
  <si>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</si>
  <si>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</si>
  <si>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</si>
  <si>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</si>
  <si>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</si>
  <si>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</si>
  <si>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</si>
  <si>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</si>
  <si>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</si>
  <si>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</si>
  <si>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</si>
  <si>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</si>
  <si>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</si>
  <si>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</si>
  <si>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</si>
  <si>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</si>
  <si>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</si>
  <si>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</si>
  <si>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</si>
  <si>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</si>
  <si>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</si>
  <si>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</si>
  <si>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</si>
  <si>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</si>
  <si>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</si>
  <si>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</si>
  <si>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</si>
  <si>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</si>
  <si>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</si>
  <si>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</si>
  <si>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</si>
  <si>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</si>
  <si>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</si>
  <si>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</si>
  <si>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</si>
  <si>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</si>
  <si>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</si>
  <si>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</si>
  <si>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</si>
  <si>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</si>
  <si>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</si>
  <si>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</si>
  <si>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</si>
  <si>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</si>
  <si>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</si>
  <si>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</si>
  <si>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</si>
  <si>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</si>
  <si>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</si>
  <si>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</si>
  <si>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</si>
  <si>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</si>
  <si>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</si>
  <si>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</si>
  <si>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</si>
  <si>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</si>
  <si>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</si>
  <si>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</si>
  <si>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</si>
  <si>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</si>
  <si>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</si>
  <si>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</si>
  <si>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</si>
  <si>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</si>
  <si>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</si>
  <si>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</si>
  <si>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</si>
  <si>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</si>
  <si>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</si>
  <si>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</si>
  <si>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</si>
  <si>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</si>
  <si>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</si>
  <si>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</si>
  <si>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</si>
  <si>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</si>
  <si>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</si>
  <si>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</si>
  <si>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</si>
  <si>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</si>
  <si>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</si>
  <si>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</si>
  <si>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</si>
  <si>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</si>
  <si>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</si>
  <si>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</si>
  <si>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</si>
  <si>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</si>
  <si>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</si>
  <si>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</si>
  <si>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</si>
  <si>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</si>
  <si>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</si>
  <si>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</si>
  <si>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</si>
  <si>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</si>
  <si>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</si>
  <si>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</si>
  <si>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</si>
  <si>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</si>
  <si>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</si>
  <si>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</si>
  <si>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</si>
  <si>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</si>
  <si>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</si>
  <si>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</si>
  <si>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</si>
  <si>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</si>
  <si>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</si>
  <si>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</si>
  <si>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</si>
  <si>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</si>
  <si>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</si>
  <si>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</si>
  <si>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</si>
  <si>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</si>
  <si>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</si>
  <si>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</si>
  <si>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</si>
  <si>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</si>
  <si>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</si>
  <si>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</si>
  <si>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</si>
  <si>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</si>
  <si>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</si>
  <si>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</si>
  <si>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</si>
  <si>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</si>
  <si>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</si>
  <si>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</si>
  <si>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</si>
  <si>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</si>
  <si>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</si>
  <si>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</si>
  <si>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</si>
  <si>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</si>
  <si>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</si>
  <si>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</si>
  <si>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</si>
  <si>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</si>
  <si>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</si>
  <si>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</si>
  <si>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</si>
  <si>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</si>
  <si>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</si>
  <si>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</si>
  <si>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</si>
  <si>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</si>
  <si>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</si>
  <si>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</si>
  <si>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</si>
  <si>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</si>
  <si>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</si>
  <si>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</si>
  <si>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</si>
  <si>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</si>
  <si>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</si>
  <si>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</si>
  <si>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</si>
  <si>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</si>
  <si>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</si>
  <si>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</si>
  <si>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</si>
  <si>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</si>
  <si>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</si>
  <si>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</si>
  <si>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</si>
  <si>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</si>
  <si>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</si>
  <si>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</si>
  <si>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</si>
  <si>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</si>
  <si>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</si>
  <si>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</si>
  <si>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</si>
  <si>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</si>
  <si>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</si>
  <si>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</si>
  <si>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</si>
  <si>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</si>
  <si>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</si>
  <si>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</si>
  <si>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</si>
  <si>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</si>
  <si>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</si>
  <si>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</si>
  <si>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</si>
  <si>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</si>
  <si>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</si>
  <si>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</si>
  <si>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</si>
  <si>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</si>
  <si>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</si>
  <si>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</si>
  <si>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</si>
  <si>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</si>
  <si>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</si>
  <si>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</si>
  <si>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</si>
  <si>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</si>
  <si>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</si>
  <si>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</si>
  <si>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</si>
  <si>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</si>
  <si>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</si>
  <si>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</si>
  <si>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</si>
  <si>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</si>
  <si>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</si>
  <si>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</si>
  <si>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</si>
  <si>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</si>
  <si>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</si>
  <si>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</si>
  <si>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</si>
  <si>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</si>
  <si>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</si>
  <si>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</si>
  <si>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</si>
  <si>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</si>
  <si>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</si>
  <si>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</si>
  <si>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</si>
  <si>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</si>
  <si>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</si>
  <si>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</si>
  <si>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</si>
  <si>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</si>
  <si>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</si>
  <si>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</si>
  <si>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</si>
  <si>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</si>
  <si>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</si>
  <si>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</si>
  <si>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</si>
  <si>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</si>
  <si>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</si>
  <si>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</si>
  <si>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</si>
  <si>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</si>
  <si>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</si>
  <si>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</si>
  <si>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</si>
  <si>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</si>
  <si>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</si>
  <si>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</si>
  <si>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</si>
  <si>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</si>
  <si>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</si>
  <si>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</si>
  <si>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</si>
  <si>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</si>
  <si>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</si>
  <si>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</si>
  <si>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</si>
  <si>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</si>
  <si>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</si>
  <si>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</si>
  <si>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</si>
  <si>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</si>
  <si>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</si>
  <si>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</si>
  <si>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</si>
  <si>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</si>
  <si>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</si>
  <si>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</si>
  <si>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</si>
  <si>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</si>
  <si>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</si>
  <si>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</si>
  <si>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</si>
  <si>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</si>
  <si>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</si>
  <si>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</si>
  <si>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</si>
  <si>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</si>
  <si>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</si>
  <si>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</si>
  <si>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</si>
  <si>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</si>
  <si>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</si>
  <si>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</si>
  <si>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</si>
  <si>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</si>
  <si>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</si>
  <si>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</si>
  <si>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</si>
  <si>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</si>
  <si>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</si>
  <si>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</si>
  <si>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</si>
  <si>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</si>
  <si>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</si>
  <si>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</si>
  <si>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</si>
  <si>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</si>
  <si>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</si>
  <si>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</si>
  <si>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</si>
  <si>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</si>
  <si>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</si>
  <si>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</si>
  <si>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</si>
  <si>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</si>
  <si>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</si>
  <si>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</si>
  <si>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</si>
  <si>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</si>
  <si>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</si>
  <si>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</si>
  <si>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</si>
  <si>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</si>
  <si>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</si>
  <si>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</si>
  <si>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</si>
  <si>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</si>
  <si>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</si>
  <si>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</si>
  <si>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</si>
  <si>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</si>
  <si>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</si>
  <si>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</si>
  <si>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</si>
  <si>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</si>
  <si>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</si>
  <si>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</si>
  <si>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</si>
  <si>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</si>
  <si>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</si>
  <si>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</si>
  <si>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</si>
  <si>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</si>
  <si>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</si>
  <si>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</si>
  <si>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</si>
  <si>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</si>
  <si>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</si>
  <si>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</si>
  <si>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</si>
  <si>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</si>
  <si>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</si>
  <si>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</si>
  <si>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</si>
  <si>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</si>
  <si>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</si>
  <si>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</si>
  <si>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</si>
  <si>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</si>
  <si>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</si>
  <si>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</si>
  <si>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</si>
  <si>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</si>
  <si>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</si>
  <si>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</si>
  <si>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</si>
  <si>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</si>
  <si>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</si>
  <si>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</si>
  <si>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</si>
  <si>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</si>
  <si>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</si>
  <si>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</si>
  <si>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</si>
  <si>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</si>
  <si>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</si>
  <si>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</si>
  <si>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</si>
  <si>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</si>
  <si>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</si>
  <si>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</si>
  <si>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</si>
  <si>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</si>
  <si>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</si>
  <si>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</si>
  <si>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</si>
  <si>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</si>
  <si>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</si>
  <si>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</si>
  <si>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</si>
  <si>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</si>
  <si>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</si>
  <si>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</si>
  <si>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</si>
  <si>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</si>
  <si>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</si>
  <si>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</si>
  <si>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</si>
  <si>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</si>
  <si>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</si>
  <si>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</si>
  <si>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</si>
  <si>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</si>
  <si>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</si>
  <si>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</si>
  <si>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</si>
  <si>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</si>
  <si>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</si>
  <si>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</si>
  <si>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</si>
  <si>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</si>
  <si>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</si>
  <si>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</si>
  <si>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</si>
  <si>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</si>
  <si>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</si>
  <si>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</si>
  <si>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</si>
  <si>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</si>
  <si>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</si>
  <si>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</si>
  <si>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</si>
  <si>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</si>
  <si>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</si>
  <si>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</si>
  <si>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</si>
  <si>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</si>
  <si>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</si>
  <si>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</si>
  <si>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</si>
  <si>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</si>
  <si>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</si>
  <si>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</si>
  <si>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</si>
  <si>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</si>
  <si>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</si>
  <si>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</si>
  <si>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</si>
  <si>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</si>
  <si>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</si>
  <si>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</si>
  <si>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</si>
  <si>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</si>
  <si>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</si>
  <si>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</si>
  <si>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</si>
  <si>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</si>
  <si>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</si>
  <si>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</si>
  <si>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</si>
  <si>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</si>
  <si>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</si>
  <si>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</si>
  <si>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</si>
  <si>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</si>
  <si>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</si>
  <si>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</si>
  <si>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</si>
  <si>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</si>
  <si>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</si>
  <si>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</si>
  <si>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</si>
  <si>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</si>
  <si>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</si>
  <si>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</si>
  <si>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</si>
  <si>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</si>
  <si>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</si>
  <si>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</si>
  <si>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</si>
  <si>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</si>
  <si>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</si>
  <si>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</si>
  <si>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</si>
  <si>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</si>
  <si>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</si>
  <si>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</si>
  <si>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</si>
  <si>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</si>
  <si>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</si>
  <si>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</si>
  <si>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</si>
  <si>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</si>
  <si>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</si>
  <si>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</si>
  <si>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</si>
  <si>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</si>
  <si>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</si>
  <si>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</si>
  <si>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</si>
  <si>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</si>
  <si>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</si>
  <si>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</si>
  <si>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</si>
  <si>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</si>
  <si>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</si>
  <si>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</si>
  <si>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</si>
  <si>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</si>
  <si>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</si>
  <si>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</si>
  <si>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</si>
  <si>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</si>
  <si>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</si>
  <si>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</si>
  <si>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</si>
  <si>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</si>
  <si>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</si>
  <si>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</si>
  <si>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</si>
  <si>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</si>
  <si>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</si>
  <si>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</si>
  <si>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</si>
  <si>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</si>
  <si>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</si>
  <si>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</si>
  <si>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</si>
  <si>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</si>
  <si>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</si>
  <si>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</si>
  <si>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</si>
  <si>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</si>
  <si>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</si>
  <si>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</si>
  <si>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</si>
  <si>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</si>
  <si>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</si>
  <si>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</si>
  <si>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</si>
  <si>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</si>
  <si>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</si>
  <si>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</si>
  <si>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</si>
  <si>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</si>
  <si>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</si>
  <si>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</si>
  <si>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</si>
  <si>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</si>
  <si>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</si>
  <si>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</si>
  <si>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</si>
  <si>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</si>
  <si>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</si>
  <si>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</si>
  <si>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</si>
  <si>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</si>
  <si>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</si>
  <si>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</si>
  <si>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</si>
  <si>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</si>
  <si>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</si>
  <si>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</si>
  <si>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</si>
  <si>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</si>
  <si>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</si>
  <si>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</si>
  <si>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</si>
  <si>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</si>
  <si>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</si>
  <si>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</si>
  <si>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</si>
  <si>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</si>
  <si>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</si>
  <si>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</si>
  <si>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</si>
  <si>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</si>
  <si>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</si>
  <si>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</si>
  <si>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</si>
  <si>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</si>
  <si>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</si>
  <si>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</si>
  <si>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</si>
  <si>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</si>
  <si>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</si>
  <si>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</si>
  <si>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</si>
  <si>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</si>
  <si>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</si>
  <si>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</si>
  <si>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</si>
  <si>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</si>
  <si>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</si>
  <si>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</si>
  <si>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</si>
  <si>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</si>
  <si>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</si>
  <si>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</si>
  <si>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</si>
  <si>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</si>
  <si>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</si>
  <si>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</si>
  <si>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</si>
  <si>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</si>
  <si>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</si>
  <si>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</si>
  <si>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</si>
  <si>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</si>
  <si>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</si>
  <si>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</si>
  <si>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</si>
  <si>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</si>
  <si>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</si>
  <si>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</si>
  <si>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</si>
  <si>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</si>
  <si>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</si>
  <si>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</si>
  <si>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</si>
  <si>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</si>
  <si>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</si>
  <si>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</si>
  <si>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</si>
  <si>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</si>
  <si>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</si>
  <si>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</si>
  <si>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</si>
  <si>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</si>
  <si>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</si>
  <si>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</si>
  <si>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</si>
  <si>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</si>
  <si>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</si>
  <si>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</si>
  <si>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</si>
  <si>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</si>
  <si>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</si>
  <si>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</si>
  <si>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</si>
  <si>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</si>
  <si>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</si>
  <si>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</si>
  <si>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</si>
  <si>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</si>
  <si>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</si>
  <si>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</si>
  <si>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</si>
  <si>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</si>
  <si>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</si>
  <si>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</si>
  <si>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</si>
  <si>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</si>
  <si>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</si>
  <si>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</si>
  <si>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</si>
  <si>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</si>
  <si>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</si>
  <si>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</si>
  <si>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</si>
  <si>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</si>
  <si>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</si>
  <si>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</si>
  <si>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</si>
  <si>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</si>
  <si>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</si>
  <si>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</si>
  <si>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</si>
  <si>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</si>
  <si>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</si>
  <si>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</si>
  <si>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</si>
  <si>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</si>
  <si>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</si>
  <si>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</si>
  <si>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</si>
  <si>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</si>
  <si>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</si>
  <si>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</si>
  <si>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</si>
  <si>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</si>
  <si>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</si>
  <si>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</si>
  <si>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</si>
  <si>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</si>
  <si>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</si>
  <si>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</si>
  <si>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</si>
  <si>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</si>
  <si>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</si>
  <si>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</si>
  <si>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</si>
  <si>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</si>
  <si>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</si>
  <si>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</si>
  <si>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</si>
  <si>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</si>
  <si>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</si>
  <si>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</si>
  <si>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</si>
  <si>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</si>
  <si>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</si>
  <si>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</si>
  <si>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</si>
  <si>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</si>
  <si>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</si>
  <si>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</si>
  <si>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</si>
  <si>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</si>
  <si>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</si>
  <si>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</si>
  <si>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</si>
  <si>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</si>
  <si>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</si>
  <si>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</si>
  <si>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</si>
  <si>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</si>
  <si>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</si>
  <si>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</si>
  <si>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</si>
  <si>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</si>
  <si>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</si>
  <si>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</si>
  <si>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</si>
  <si>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</si>
  <si>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</si>
  <si>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</si>
  <si>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</si>
  <si>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</si>
  <si>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</si>
  <si>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</si>
  <si>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</si>
  <si>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</si>
  <si>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</si>
  <si>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</si>
  <si>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</si>
  <si>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</si>
  <si>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</si>
  <si>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</si>
  <si>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</si>
  <si>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</si>
  <si>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</si>
  <si>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</si>
  <si>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</si>
  <si>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</si>
  <si>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</si>
  <si>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</si>
  <si>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</si>
  <si>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</si>
  <si>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</si>
  <si>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</si>
  <si>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</si>
  <si>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</si>
  <si>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</si>
  <si>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</si>
  <si>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</si>
  <si>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</si>
  <si>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</si>
  <si>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</si>
  <si>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</si>
  <si>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</si>
  <si>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</si>
  <si>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</si>
  <si>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</si>
  <si>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</si>
  <si>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</si>
  <si>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</si>
  <si>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</si>
  <si>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</si>
  <si>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</si>
  <si>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</si>
  <si>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</si>
  <si>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</si>
  <si>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</si>
  <si>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</si>
  <si>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</si>
  <si>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</si>
  <si>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</si>
  <si>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</si>
  <si>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</si>
  <si>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</si>
  <si>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</si>
  <si>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</si>
  <si>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</si>
  <si>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</si>
  <si>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</si>
  <si>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</si>
  <si>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</si>
  <si>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</si>
  <si>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</si>
  <si>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</si>
  <si>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</si>
  <si>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</si>
  <si>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</si>
  <si>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</si>
  <si>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</si>
  <si>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</si>
  <si>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</si>
  <si>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</si>
  <si>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</si>
  <si>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</si>
  <si>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</si>
  <si>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</si>
  <si>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</si>
  <si>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</si>
  <si>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</si>
  <si>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</si>
  <si>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</si>
  <si>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</si>
  <si>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</si>
  <si>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</si>
  <si>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</si>
  <si>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</si>
  <si>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</si>
  <si>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</si>
  <si>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</si>
  <si>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</si>
  <si>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</si>
  <si>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</si>
  <si>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</si>
  <si>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</si>
  <si>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</si>
  <si>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</si>
  <si>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</si>
  <si>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</si>
  <si>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</si>
  <si>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</si>
  <si>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</si>
  <si>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</si>
  <si>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</si>
  <si>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</si>
  <si>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</si>
  <si>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</si>
  <si>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</si>
  <si>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</si>
  <si>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</si>
  <si>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</si>
  <si>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</si>
  <si>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</si>
  <si>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</si>
  <si>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</si>
  <si>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</si>
  <si>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</si>
  <si>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</si>
  <si>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</si>
  <si>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</si>
  <si>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</si>
  <si>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</si>
  <si>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</si>
  <si>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</si>
  <si>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</si>
  <si>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</si>
  <si>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</si>
  <si>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</si>
  <si>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</si>
  <si>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</si>
  <si>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</si>
  <si>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</si>
  <si>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</si>
  <si>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</si>
  <si>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</si>
  <si>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</si>
  <si>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</si>
  <si>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</si>
  <si>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</si>
  <si>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</si>
  <si>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</si>
  <si>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</si>
  <si>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</si>
  <si>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</si>
  <si>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</si>
  <si>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</si>
  <si>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</si>
  <si>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</si>
  <si>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</si>
  <si>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</si>
  <si>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</si>
  <si>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</si>
  <si>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</si>
  <si>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</si>
  <si>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</si>
  <si>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</si>
  <si>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</si>
  <si>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</si>
  <si>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</si>
  <si>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</si>
  <si>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</si>
  <si>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</si>
  <si>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</si>
  <si>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</si>
  <si>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</si>
  <si>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</si>
  <si>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</si>
  <si>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</si>
  <si>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</si>
  <si>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</si>
  <si>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</si>
  <si>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</si>
  <si>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</si>
  <si>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</si>
  <si>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</si>
  <si>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</si>
  <si>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</si>
  <si>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</si>
  <si>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</si>
  <si>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</si>
  <si>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</si>
  <si>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</si>
  <si>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</si>
  <si>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</si>
  <si>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</si>
  <si>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</si>
  <si>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</si>
  <si>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</si>
  <si>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</si>
  <si>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</si>
  <si>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</si>
  <si>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</si>
  <si>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</si>
  <si>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</si>
  <si>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</si>
  <si>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</si>
  <si>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</si>
  <si>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</si>
  <si>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</si>
  <si>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</si>
  <si>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</si>
  <si>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</si>
  <si>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</si>
  <si>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</si>
  <si>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</si>
  <si>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</si>
  <si>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</si>
  <si>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</si>
  <si>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</si>
  <si>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</si>
  <si>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</si>
  <si>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</si>
  <si>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</si>
  <si>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</si>
  <si>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</si>
  <si>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</si>
  <si>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</si>
  <si>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</si>
  <si>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</si>
  <si>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</si>
  <si>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</si>
  <si>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</si>
  <si>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</si>
  <si>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</si>
  <si>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</si>
  <si>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</si>
  <si>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</si>
  <si>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</si>
  <si>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</si>
  <si>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</si>
  <si>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</si>
  <si>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</si>
  <si>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</si>
  <si>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</si>
  <si>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</si>
  <si>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</si>
  <si>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</si>
  <si>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</si>
  <si>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</si>
  <si>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</si>
  <si>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</si>
  <si>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</si>
  <si>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</si>
  <si>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</si>
  <si>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</si>
  <si>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</si>
  <si>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</si>
  <si>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</si>
  <si>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</si>
  <si>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</si>
  <si>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</si>
  <si>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</si>
  <si>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</si>
  <si>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</si>
  <si>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</si>
  <si>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</si>
  <si>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</si>
  <si>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</si>
  <si>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</si>
  <si>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</si>
  <si>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</si>
  <si>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</si>
  <si>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</si>
  <si>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</si>
  <si>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</si>
  <si>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</si>
  <si>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</si>
  <si>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</si>
  <si>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</si>
  <si>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</si>
  <si>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</si>
  <si>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</si>
  <si>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</si>
  <si>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</si>
  <si>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</si>
  <si>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</si>
  <si>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</si>
  <si>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</si>
  <si>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</si>
  <si>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</si>
  <si>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</si>
  <si>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</si>
  <si>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</si>
  <si>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</si>
  <si>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</si>
  <si>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</si>
  <si>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</si>
  <si>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</si>
  <si>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</si>
  <si>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</si>
  <si>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</si>
  <si>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</si>
  <si>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</si>
  <si>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</si>
  <si>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</si>
  <si>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</si>
  <si>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</si>
  <si>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</si>
  <si>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</si>
  <si>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</si>
  <si>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</si>
  <si>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</si>
  <si>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</si>
  <si>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</si>
  <si>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</si>
  <si>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</si>
  <si>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</si>
  <si>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</si>
  <si>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</si>
  <si>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</si>
  <si>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</si>
  <si>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</si>
  <si>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</si>
  <si>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</si>
  <si>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</si>
  <si>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</si>
  <si>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</si>
  <si>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</si>
  <si>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</si>
  <si>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</si>
  <si>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</si>
  <si>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</si>
  <si>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</si>
  <si>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</si>
  <si>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</si>
  <si>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</si>
  <si>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</si>
  <si>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</si>
  <si>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</si>
  <si>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</si>
  <si>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</si>
  <si>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</si>
  <si>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</si>
  <si>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</si>
  <si>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</si>
  <si>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</si>
  <si>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</si>
  <si>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</si>
  <si>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</si>
  <si>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</si>
  <si>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</si>
  <si>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</si>
  <si>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</si>
  <si>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</si>
  <si>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</si>
  <si>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</si>
  <si>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</si>
  <si>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</si>
  <si>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</si>
  <si>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</si>
  <si>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</si>
  <si>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</si>
  <si>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</si>
  <si>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</si>
  <si>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</si>
  <si>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</si>
  <si>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</si>
  <si>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</si>
  <si>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</si>
  <si>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</si>
  <si>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</si>
  <si>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</si>
  <si>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</si>
  <si>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</si>
  <si>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</si>
  <si>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</si>
  <si>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</si>
  <si>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</si>
  <si>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</si>
  <si>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</si>
  <si>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</si>
  <si>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</si>
  <si>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</si>
  <si>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</si>
  <si>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</si>
  <si>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</si>
  <si>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</si>
  <si>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</si>
  <si>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</si>
  <si>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</si>
  <si>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</si>
  <si>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</si>
  <si>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</si>
  <si>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</si>
  <si>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</si>
  <si>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</si>
  <si>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</si>
  <si>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</si>
  <si>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</si>
  <si>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</si>
  <si>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</si>
  <si>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</si>
  <si>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</si>
  <si>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</si>
  <si>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</si>
  <si>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</si>
  <si>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</si>
  <si>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</si>
  <si>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</si>
  <si>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</si>
  <si>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</si>
  <si>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</si>
  <si>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</si>
  <si>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</si>
  <si>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</si>
  <si>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</si>
  <si>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</si>
  <si>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</si>
  <si>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</si>
  <si>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</si>
  <si>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</si>
  <si>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</si>
  <si>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</si>
  <si>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</si>
  <si>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</si>
  <si>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</si>
  <si>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</si>
  <si>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</si>
  <si>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</si>
  <si>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</si>
  <si>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</si>
  <si>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</si>
  <si>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</si>
  <si>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</si>
  <si>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</si>
  <si>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</si>
  <si>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</si>
  <si>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</si>
  <si>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</si>
  <si>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</si>
  <si>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</si>
  <si>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</si>
  <si>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</si>
  <si>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</si>
  <si>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</si>
  <si>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</si>
  <si>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</si>
  <si>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</si>
  <si>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</si>
  <si>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</si>
  <si>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</si>
  <si>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</si>
  <si>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</si>
  <si>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</si>
  <si>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</si>
  <si>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</si>
  <si>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</si>
  <si>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</si>
  <si>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</si>
  <si>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</si>
  <si>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</si>
  <si>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</si>
  <si>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</si>
  <si>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</si>
  <si>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</si>
  <si>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</si>
  <si>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</si>
  <si>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</si>
  <si>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</si>
  <si>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</si>
  <si>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</si>
  <si>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</si>
  <si>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</si>
  <si>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</si>
  <si>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</si>
  <si>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</si>
  <si>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</si>
  <si>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</si>
  <si>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</si>
  <si>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</si>
  <si>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</si>
  <si>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</si>
  <si>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</si>
  <si>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</si>
  <si>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</si>
  <si>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</si>
  <si>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</si>
  <si>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</si>
  <si>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</si>
  <si>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</si>
  <si>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</si>
  <si>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</si>
  <si>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</si>
  <si>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</si>
  <si>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</si>
  <si>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</si>
  <si>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</si>
  <si>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</si>
  <si>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</si>
  <si>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</si>
  <si>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</si>
  <si>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</si>
  <si>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</si>
  <si>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</si>
  <si>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</si>
  <si>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</si>
  <si>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</si>
  <si>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</si>
  <si>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</si>
  <si>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</si>
  <si>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</si>
  <si>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</si>
  <si>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</si>
  <si>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</si>
  <si>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</si>
  <si>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</si>
  <si>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</si>
  <si>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</si>
  <si>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</si>
  <si>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</si>
  <si>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</si>
  <si>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</si>
  <si>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</si>
  <si>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</si>
  <si>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</si>
  <si>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</si>
  <si>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</si>
  <si>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</si>
  <si>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</si>
  <si>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</si>
  <si>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</si>
  <si>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</si>
  <si>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</si>
  <si>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</si>
  <si>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</si>
  <si>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</si>
  <si>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</si>
  <si>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</si>
  <si>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</si>
  <si>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</si>
  <si>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</si>
  <si>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</si>
  <si>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</si>
  <si>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</si>
  <si>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</si>
  <si>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</si>
  <si>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</si>
  <si>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</si>
  <si>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</si>
  <si>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</si>
  <si>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</si>
  <si>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</si>
  <si>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</si>
  <si>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</si>
  <si>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</si>
  <si>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</si>
  <si>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</si>
  <si>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</si>
  <si>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</si>
  <si>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</si>
  <si>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</si>
  <si>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</si>
  <si>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</si>
  <si>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</si>
  <si>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</si>
  <si>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</si>
  <si>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</si>
  <si>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</si>
  <si>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</si>
  <si>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</si>
  <si>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</si>
  <si>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</si>
  <si>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</si>
  <si>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</si>
  <si>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</si>
  <si>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</si>
  <si>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</si>
  <si>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</si>
  <si>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</si>
  <si>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</si>
  <si>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</si>
  <si>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</si>
  <si>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</si>
  <si>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</si>
  <si>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</si>
  <si>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</si>
  <si>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</si>
  <si>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</si>
  <si>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</si>
  <si>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</si>
  <si>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</si>
  <si>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</si>
  <si>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</si>
  <si>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</si>
  <si>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</si>
  <si>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</si>
  <si>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</si>
  <si>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</si>
  <si>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</si>
  <si>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</si>
  <si>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</si>
  <si>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</si>
  <si>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</si>
  <si>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</si>
  <si>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</si>
  <si>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</si>
  <si>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</si>
  <si>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</si>
  <si>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</si>
  <si>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</si>
  <si>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</si>
  <si>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</si>
  <si>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</si>
  <si>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</si>
  <si>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</si>
  <si>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</si>
  <si>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</si>
  <si>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</si>
  <si>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</si>
  <si>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</si>
  <si>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</si>
  <si>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</si>
  <si>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</si>
  <si>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</si>
  <si>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</si>
  <si>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</si>
  <si>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</si>
  <si>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</si>
  <si>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</si>
  <si>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</si>
  <si>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</si>
  <si>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</si>
  <si>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</si>
  <si>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</si>
  <si>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</si>
  <si>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</si>
  <si>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</si>
  <si>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</si>
  <si>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</si>
  <si>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</si>
  <si>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</si>
  <si>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</si>
  <si>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</si>
  <si>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</si>
  <si>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</si>
  <si>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</si>
  <si>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</si>
  <si>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</si>
  <si>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</si>
  <si>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</si>
  <si>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</si>
  <si>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</si>
  <si>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</si>
  <si>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</si>
  <si>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</si>
  <si>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</si>
  <si>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</si>
  <si>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</si>
  <si>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</si>
  <si>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</si>
  <si>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</si>
  <si>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</si>
  <si>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</si>
  <si>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</si>
  <si>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</si>
  <si>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</si>
  <si>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</si>
  <si>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</si>
  <si>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</si>
  <si>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</si>
  <si>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</si>
  <si>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</si>
  <si>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</si>
  <si>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</si>
  <si>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</si>
  <si>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</si>
  <si>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</si>
  <si>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</si>
  <si>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</si>
  <si>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</si>
  <si>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</si>
  <si>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</si>
  <si>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</si>
  <si>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</si>
  <si>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</si>
  <si>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</si>
  <si>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</si>
  <si>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</si>
  <si>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</si>
  <si>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</si>
  <si>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</si>
  <si>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</si>
  <si>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</si>
  <si>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</si>
  <si>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</si>
  <si>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</si>
  <si>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</si>
  <si>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</si>
  <si>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</si>
  <si>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</si>
  <si>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</si>
  <si>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</si>
  <si>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</si>
  <si>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</si>
  <si>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</si>
  <si>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</si>
  <si>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</si>
  <si>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</si>
  <si>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</si>
  <si>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</si>
  <si>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</si>
  <si>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</si>
  <si>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</si>
  <si>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</si>
  <si>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</si>
  <si>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</si>
  <si>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</si>
  <si>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</si>
  <si>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</si>
  <si>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</si>
  <si>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</si>
  <si>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</si>
  <si>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</si>
  <si>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</si>
  <si>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</si>
  <si>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</si>
  <si>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</si>
  <si>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</si>
  <si>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</si>
  <si>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</si>
  <si>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</si>
  <si>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</si>
  <si>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</si>
  <si>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</si>
  <si>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</si>
  <si>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</si>
  <si>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</si>
  <si>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</si>
  <si>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</si>
  <si>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</si>
  <si>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</si>
  <si>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</si>
  <si>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</si>
  <si>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</si>
  <si>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</si>
  <si>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</si>
  <si>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</si>
  <si>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</si>
  <si>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</si>
  <si>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</si>
  <si>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</si>
  <si>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</si>
  <si>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</si>
  <si>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</si>
  <si>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</si>
  <si>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</si>
  <si>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</si>
  <si>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</si>
  <si>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</si>
  <si>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</si>
  <si>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</si>
  <si>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</si>
  <si>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</si>
  <si>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</si>
  <si>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</si>
  <si>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</si>
  <si>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</si>
  <si>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</si>
  <si>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</si>
  <si>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</si>
  <si>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</si>
  <si>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</si>
  <si>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</si>
  <si>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</si>
  <si>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</si>
  <si>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</si>
  <si>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</si>
  <si>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</si>
  <si>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</si>
  <si>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</si>
  <si>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</si>
  <si>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</si>
  <si>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</si>
  <si>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</si>
  <si>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</si>
  <si>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</si>
  <si>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</si>
  <si>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</si>
  <si>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</si>
  <si>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</si>
  <si>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</si>
  <si>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</si>
  <si>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</si>
  <si>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</si>
  <si>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</si>
  <si>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</si>
  <si>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</si>
  <si>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</si>
  <si>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</si>
  <si>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</si>
  <si>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</si>
  <si>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</si>
  <si>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</si>
  <si>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</si>
  <si>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</si>
  <si>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</si>
  <si>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</si>
  <si>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</si>
  <si>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</si>
  <si>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</si>
  <si>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</si>
  <si>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</si>
  <si>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</si>
  <si>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</si>
  <si>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</si>
  <si>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</si>
  <si>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</si>
  <si>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</si>
  <si>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</si>
  <si>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</si>
  <si>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</si>
  <si>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</si>
  <si>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</si>
  <si>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</si>
  <si>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</si>
  <si>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</si>
  <si>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</si>
  <si>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</si>
  <si>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</si>
  <si>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</si>
  <si>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</si>
  <si>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</si>
  <si>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</si>
  <si>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</si>
  <si>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</si>
  <si>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</si>
  <si>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</si>
  <si>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</si>
  <si>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</si>
  <si>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</si>
  <si>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</si>
  <si>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</si>
  <si>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</si>
  <si>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</si>
  <si>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</si>
  <si>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</si>
  <si>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</si>
  <si>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</si>
  <si>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</si>
  <si>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</si>
  <si>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</si>
  <si>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</si>
  <si>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</si>
  <si>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</si>
  <si>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</si>
  <si>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</si>
  <si>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</si>
  <si>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</si>
  <si>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</si>
  <si>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</si>
  <si>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</si>
  <si>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</si>
  <si>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</si>
  <si>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</si>
  <si>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</si>
  <si>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</si>
  <si>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</si>
  <si>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</si>
  <si>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</si>
  <si>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</si>
  <si>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</si>
  <si>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</si>
  <si>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</si>
  <si>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</si>
  <si>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</si>
  <si>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</si>
  <si>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</si>
  <si>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</si>
  <si>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</si>
  <si>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</si>
  <si>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</si>
  <si>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</si>
  <si>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</si>
  <si>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</si>
  <si>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</si>
  <si>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</si>
  <si>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</si>
  <si>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</si>
  <si>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</si>
  <si>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</si>
  <si>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</si>
  <si>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</si>
  <si>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</si>
  <si>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</si>
  <si>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</si>
  <si>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</si>
  <si>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</si>
  <si>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</si>
  <si>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</si>
  <si>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</si>
  <si>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</si>
  <si>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</si>
  <si>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</si>
  <si>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</si>
  <si>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</si>
  <si>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</si>
  <si>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</si>
  <si>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</si>
  <si>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</si>
  <si>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</si>
  <si>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</si>
  <si>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</si>
  <si>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</si>
  <si>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</si>
  <si>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</si>
  <si>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</si>
  <si>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</si>
  <si>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</si>
  <si>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</si>
  <si>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</si>
  <si>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</si>
  <si>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</si>
  <si>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</si>
  <si>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</si>
  <si>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</si>
  <si>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</si>
  <si>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</si>
  <si>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</si>
  <si>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</si>
  <si>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</si>
  <si>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</si>
  <si>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</si>
  <si>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</si>
  <si>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</si>
  <si>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</si>
  <si>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</si>
  <si>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</si>
  <si>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</si>
  <si>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</si>
  <si>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</si>
  <si>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</si>
  <si>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</si>
  <si>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</si>
  <si>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</si>
  <si>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</si>
  <si>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</si>
  <si>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</si>
  <si>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</si>
  <si>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</si>
  <si>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</si>
  <si>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</si>
  <si>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</si>
  <si>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</si>
  <si>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</si>
  <si>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</si>
  <si>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</si>
  <si>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</si>
  <si>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</si>
  <si>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</si>
  <si>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</si>
  <si>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</si>
  <si>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</si>
  <si>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</si>
  <si>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</si>
  <si>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</si>
  <si>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</si>
  <si>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</si>
  <si>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</si>
  <si>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</si>
  <si>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</si>
  <si>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</si>
  <si>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</si>
  <si>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</si>
  <si>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</si>
  <si>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</si>
  <si>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</si>
  <si>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</si>
  <si>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</si>
  <si>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</si>
  <si>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</si>
  <si>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</si>
  <si>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</si>
  <si>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</si>
  <si>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</si>
  <si>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</si>
  <si>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</si>
  <si>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</si>
  <si>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</si>
  <si>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</si>
  <si>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</si>
  <si>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</si>
  <si>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</si>
  <si>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</si>
  <si>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</si>
  <si>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</si>
  <si>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</si>
  <si>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</si>
  <si>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</si>
  <si>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</si>
  <si>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</si>
  <si>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</si>
  <si>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</si>
  <si>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</si>
  <si>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</si>
  <si>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</si>
  <si>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</si>
  <si>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</si>
  <si>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</si>
  <si>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</si>
  <si>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</si>
  <si>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</si>
  <si>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</si>
  <si>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</si>
  <si>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</si>
  <si>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</si>
  <si>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</si>
  <si>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</si>
  <si>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</si>
  <si>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</si>
  <si>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</si>
  <si>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</si>
  <si>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</si>
  <si>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</si>
  <si>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</si>
  <si>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</si>
  <si>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</si>
  <si>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</si>
  <si>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</si>
  <si>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</si>
  <si>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</si>
  <si>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</si>
  <si>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</si>
  <si>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</si>
  <si>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</si>
  <si>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</si>
  <si>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</si>
  <si>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</si>
  <si>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</si>
  <si>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</si>
  <si>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</si>
  <si>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</si>
  <si>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</si>
  <si>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</si>
  <si>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</si>
  <si>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</si>
  <si>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</si>
  <si>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</si>
  <si>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</si>
  <si>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</si>
  <si>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</si>
  <si>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</si>
  <si>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</si>
  <si>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</si>
  <si>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</si>
  <si>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</si>
  <si>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</si>
  <si>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</si>
  <si>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</si>
  <si>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</si>
  <si>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</si>
  <si>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</si>
  <si>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</si>
  <si>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</si>
  <si>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</si>
  <si>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</si>
  <si>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</si>
  <si>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</si>
  <si>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</si>
  <si>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</si>
  <si>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</si>
  <si>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</si>
  <si>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</si>
  <si>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</si>
  <si>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</si>
  <si>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</si>
  <si>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</si>
  <si>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</si>
  <si>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</si>
  <si>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</si>
  <si>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</si>
  <si>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</si>
  <si>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</si>
  <si>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</si>
  <si>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</si>
  <si>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</si>
  <si>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</si>
  <si>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</si>
  <si>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</si>
  <si>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</si>
  <si>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</si>
  <si>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</si>
  <si>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</si>
  <si>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</si>
  <si>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</si>
  <si>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</si>
  <si>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</si>
  <si>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</si>
  <si>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</si>
  <si>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</si>
  <si>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</si>
  <si>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</si>
  <si>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</si>
  <si>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</si>
  <si>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</si>
  <si>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</si>
  <si>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</si>
  <si>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</si>
  <si>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</si>
  <si>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</si>
  <si>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</si>
  <si>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</si>
  <si>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</si>
  <si>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</si>
  <si>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</si>
  <si>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</si>
  <si>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</si>
  <si>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</si>
  <si>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</si>
  <si>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</si>
  <si>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</si>
  <si>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</si>
  <si>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</si>
  <si>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2021 y al 30 de marzo de 2022 (b)</t>
  </si>
  <si>
    <t>Del 1 de enero al 30 de marzo de 2022 (b)</t>
  </si>
  <si>
    <t>01101 DESPACHO DEL PRESIDENTE MUNICIPAL</t>
  </si>
  <si>
    <t>01102 SINDICATURA</t>
  </si>
  <si>
    <t>01103 DESPACHO DE REGIDORES</t>
  </si>
  <si>
    <t>01104 SECRETARIA DEL AYUNTAMIENTO</t>
  </si>
  <si>
    <t>01105 DIRECCION DE PLANEACION</t>
  </si>
  <si>
    <t>01106 COORDINACION DE UMAIP</t>
  </si>
  <si>
    <t>01107 COORDINACION DE COMUNICACION SOCIAL</t>
  </si>
  <si>
    <t>01108 TESORERIA MUNICIPAL</t>
  </si>
  <si>
    <t>01109 CONTRALORIA MUNICIPAL</t>
  </si>
  <si>
    <t>01110 OFICIALIA MAYOR</t>
  </si>
  <si>
    <t>01111 COORDINACION DE JUVENTUD</t>
  </si>
  <si>
    <t>02302 DIRECCION DE OBRAS PUBLICAS MUNICIPALES</t>
  </si>
  <si>
    <t>02303 DIRECCION DE CATASTRO</t>
  </si>
  <si>
    <t>02304 COORDINACION DE SERVICIOS PUBLICOS MUNIC</t>
  </si>
  <si>
    <t>02305 DIRECCION DE CASA DE CULTURA</t>
  </si>
  <si>
    <t>02306 DIRECCION DE DEPORTES</t>
  </si>
  <si>
    <t>02307 COORDINACION DE EDUCACION</t>
  </si>
  <si>
    <t>02308 COORDINACION DE DESARROLLO URBANO</t>
  </si>
  <si>
    <t>03402 DIRECCION DE DESARROLLO SOCIAL</t>
  </si>
  <si>
    <t>03403 DIRECCION DE DESARROLLO RURAL</t>
  </si>
  <si>
    <t>03404 DIRECCION DE DESARROLLO  ECONOMICO</t>
  </si>
  <si>
    <t>03405 DIRECCION DE MIGRANTES</t>
  </si>
  <si>
    <t>04401 DIRECCION DE SEGURIDAD PUBLICA Y VIALIDA</t>
  </si>
  <si>
    <t>04402 COORDINACION DE PROTECCION CIVIL</t>
  </si>
  <si>
    <t>05101 COORDINACION DE ECOLOGIA Y MEDIO AMBIENT</t>
  </si>
  <si>
    <t>06302 OBRAS PUBLICAS</t>
  </si>
  <si>
    <t>06402 DIRECCION DE DESARROLLO SOCIAL</t>
  </si>
  <si>
    <t>07302 DIRECCION DE OBRAS PUBLICAS MUNICIPALE</t>
  </si>
  <si>
    <t>07304 COORDINACION DE SERVICION PUBLICOS</t>
  </si>
  <si>
    <t>07307 COORDINACION DE EDUCACION</t>
  </si>
  <si>
    <t>07401 DIRECCION DE SEGURIDAD PUBLICA Y VIALIDA</t>
  </si>
  <si>
    <t>08302 DIRECCION DE OBRAS PUBLICAS MUNICIPALES</t>
  </si>
  <si>
    <t>09108 TESORERIA MUNICIPAL</t>
  </si>
  <si>
    <t>09304 COORDINACION DE SERVICIOS PUBLICOS MUNIC</t>
  </si>
  <si>
    <t>10101 DESPACHO DEL PRESIDENTE MUNICIPAL</t>
  </si>
  <si>
    <t>10102 SINDICATURA</t>
  </si>
  <si>
    <t>10103 DESPACHO DE REGIDORES</t>
  </si>
  <si>
    <t>10104 SECRETARIA DEL AYUNTAMIENTO</t>
  </si>
  <si>
    <t>10105 COORDINACION DE PLANEACION</t>
  </si>
  <si>
    <t>10106 COORDINACION DE UMAIP</t>
  </si>
  <si>
    <t>10107 COORDINACION DE COMUNICACION SOCIAL Y  J</t>
  </si>
  <si>
    <t>10108 TESORERIA MUNICIPAL</t>
  </si>
  <si>
    <t>10109 CONTRALORIA MUNICIPAL</t>
  </si>
  <si>
    <t>10110 OFICIALIA MAYOR</t>
  </si>
  <si>
    <t>10302 DIRECCION DE OBRAS PUBLICAS MUNICIPALES</t>
  </si>
  <si>
    <t>10303 DIRECCION DE CATASTRO, DESARROLLO URBANO</t>
  </si>
  <si>
    <t>10304 COORDINACION DE SERVICIOS PUBLICOS MUNIC</t>
  </si>
  <si>
    <t>10305  DIRECCION DE CASA DE CULTURA</t>
  </si>
  <si>
    <t>10306 DIRECCION DE DEPORTES</t>
  </si>
  <si>
    <t>10307 COORDINACION DE EDUCACION</t>
  </si>
  <si>
    <t>10401 DIRECCION DE SEGURIDAD PUBLICA Y VIALIDA</t>
  </si>
  <si>
    <t>10402 DIRECCION DE DESARROLLO SOCIAL</t>
  </si>
  <si>
    <t>10403 DIRECCION DE DESARROLLO RURAL</t>
  </si>
  <si>
    <t>10404 DIRECCION DE DESARROLLO  ECONOMICO</t>
  </si>
  <si>
    <t>10405 DIRECCION DE MIGRANTES</t>
  </si>
  <si>
    <t>10406 COORDINACION DE PROTECCION CIVIL</t>
  </si>
  <si>
    <t>10407 COORDINACION DE ECOLOGIA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</si>
</sst>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49" t="s">
        <v>821</v>
      </c>
      <c r="B1" s="150"/>
      <c r="C1" s="150"/>
      <c r="D1" s="150"/>
      <c r="E1" s="151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784</v>
      </c>
      <c r="C3" s="152"/>
      <c r="D3" s="152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787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788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786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785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C23" sqref="C23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65" t="s">
        <v>534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x14ac:dyDescent="0.25">
      <c r="A2" s="153" t="str">
        <f>ENTE_PUBLICO_A</f>
        <v>Municipio de Santa Catarina, Gobierno del Estado de Guanajuato (a)</v>
      </c>
      <c r="B2" s="154"/>
      <c r="C2" s="154"/>
      <c r="D2" s="155"/>
    </row>
    <row r="3" spans="1:11" x14ac:dyDescent="0.25">
      <c r="A3" s="156" t="s">
        <v>166</v>
      </c>
      <c r="B3" s="157"/>
      <c r="C3" s="157"/>
      <c r="D3" s="158"/>
    </row>
    <row r="4" spans="1:11" x14ac:dyDescent="0.25">
      <c r="A4" s="159" t="str">
        <f>TRIMESTRE</f>
        <v>Del 1 de enero al 30 de marzo de 2022 (b)</v>
      </c>
      <c r="B4" s="160"/>
      <c r="C4" s="160"/>
      <c r="D4" s="161"/>
    </row>
    <row r="5" spans="1:11" x14ac:dyDescent="0.25">
      <c r="A5" s="162" t="s">
        <v>118</v>
      </c>
      <c r="B5" s="163"/>
      <c r="C5" s="163"/>
      <c r="D5" s="164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2</v>
      </c>
      <c r="C8" s="40">
        <f>SUM(C9:C11)</f>
        <v>2</v>
      </c>
      <c r="D8" s="40">
        <f>SUM(D9:D11)</f>
        <v>2</v>
      </c>
    </row>
    <row r="9" spans="1:11" x14ac:dyDescent="0.25">
      <c r="A9" s="53" t="s">
        <v>169</v>
      </c>
      <c r="B9" s="23">
        <v>1</v>
      </c>
      <c r="C9" s="23">
        <v>1</v>
      </c>
      <c r="D9" s="23">
        <v>1</v>
      </c>
    </row>
    <row r="10" spans="1:11" x14ac:dyDescent="0.25">
      <c r="A10" s="53" t="s">
        <v>170</v>
      </c>
      <c r="B10" s="23">
        <v>1</v>
      </c>
      <c r="C10" s="23">
        <v>1</v>
      </c>
      <c r="D10" s="23">
        <v>1</v>
      </c>
    </row>
    <row r="11" spans="1:11" x14ac:dyDescent="0.25">
      <c r="A11" s="53" t="s">
        <v>171</v>
      </c>
      <c r="B11" s="23">
        <f>B44</f>
        <v>0</v>
      </c>
      <c r="C11" s="23">
        <f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2</v>
      </c>
      <c r="C13" s="40">
        <f>C14+C15</f>
        <v>2</v>
      </c>
      <c r="D13" s="40">
        <f>D14+D15</f>
        <v>2</v>
      </c>
    </row>
    <row r="14" spans="1:11" x14ac:dyDescent="0.25">
      <c r="A14" s="53" t="s">
        <v>172</v>
      </c>
      <c r="B14" s="23">
        <v>1</v>
      </c>
      <c r="C14" s="23">
        <v>1</v>
      </c>
      <c r="D14" s="23">
        <v>1</v>
      </c>
    </row>
    <row r="15" spans="1:11" x14ac:dyDescent="0.25">
      <c r="A15" s="53" t="s">
        <v>173</v>
      </c>
      <c r="B15" s="23">
        <v>1</v>
      </c>
      <c r="C15" s="23">
        <v>1</v>
      </c>
      <c r="D15" s="23">
        <v>1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>C18+C19</f>
        <v>2</v>
      </c>
      <c r="D17" s="40">
        <f>D18+D19</f>
        <v>2</v>
      </c>
    </row>
    <row r="18" spans="1:4" x14ac:dyDescent="0.25">
      <c r="A18" s="53" t="s">
        <v>175</v>
      </c>
      <c r="B18" s="119">
        <v>0</v>
      </c>
      <c r="C18" s="23">
        <v>1</v>
      </c>
      <c r="D18" s="23">
        <v>1</v>
      </c>
    </row>
    <row r="19" spans="1:4" x14ac:dyDescent="0.25">
      <c r="A19" s="53" t="s">
        <v>176</v>
      </c>
      <c r="B19" s="119">
        <v>0</v>
      </c>
      <c r="C19" s="23">
        <v>1</v>
      </c>
      <c r="D19" s="117">
        <v>1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>C8-C13+C17</f>
        <v>2</v>
      </c>
      <c r="D21" s="40">
        <f>D8-D13+D17</f>
        <v>2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>C21-C11</f>
        <v>2</v>
      </c>
      <c r="D23" s="40">
        <f>D21-D11</f>
        <v>2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>C23-C17</f>
        <v>0</v>
      </c>
      <c r="D25" s="40">
        <f>D23-D17</f>
        <v>0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2</v>
      </c>
      <c r="C29" s="61">
        <f>C30+C31</f>
        <v>2</v>
      </c>
      <c r="D29" s="61">
        <f>D30+D31</f>
        <v>2</v>
      </c>
    </row>
    <row r="30" spans="1:4" x14ac:dyDescent="0.25">
      <c r="A30" s="53" t="s">
        <v>187</v>
      </c>
      <c r="B30" s="60">
        <v>1</v>
      </c>
      <c r="C30" s="60">
        <v>1</v>
      </c>
      <c r="D30" s="60">
        <v>1</v>
      </c>
    </row>
    <row r="31" spans="1:4" x14ac:dyDescent="0.25">
      <c r="A31" s="53" t="s">
        <v>188</v>
      </c>
      <c r="B31" s="60">
        <v>1</v>
      </c>
      <c r="C31" s="60">
        <v>1</v>
      </c>
      <c r="D31" s="60">
        <v>1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2</v>
      </c>
      <c r="C33" s="61">
        <f>C25+C29</f>
        <v>2</v>
      </c>
      <c r="D33" s="61">
        <f>D25+D29</f>
        <v>2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2</v>
      </c>
      <c r="C37" s="61">
        <f>C38+C39</f>
        <v>2</v>
      </c>
      <c r="D37" s="61">
        <f>D38+D39</f>
        <v>2</v>
      </c>
    </row>
    <row r="38" spans="1:4" x14ac:dyDescent="0.25">
      <c r="A38" s="53" t="s">
        <v>192</v>
      </c>
      <c r="B38" s="60">
        <v>1</v>
      </c>
      <c r="C38" s="60">
        <v>1</v>
      </c>
      <c r="D38" s="60">
        <v>1</v>
      </c>
    </row>
    <row r="39" spans="1:4" x14ac:dyDescent="0.25">
      <c r="A39" s="53" t="s">
        <v>193</v>
      </c>
      <c r="B39" s="60">
        <v>1</v>
      </c>
      <c r="C39" s="60">
        <v>1</v>
      </c>
      <c r="D39" s="60">
        <v>1</v>
      </c>
    </row>
    <row r="40" spans="1:4" x14ac:dyDescent="0.25">
      <c r="A40" s="55" t="s">
        <v>194</v>
      </c>
      <c r="B40" s="61">
        <f>B41+B42</f>
        <v>2</v>
      </c>
      <c r="C40" s="61">
        <f>C41+C42</f>
        <v>2</v>
      </c>
      <c r="D40" s="61">
        <f>D41+D42</f>
        <v>2</v>
      </c>
    </row>
    <row r="41" spans="1:4" x14ac:dyDescent="0.25">
      <c r="A41" s="53" t="s">
        <v>195</v>
      </c>
      <c r="B41" s="60">
        <v>1</v>
      </c>
      <c r="C41" s="60">
        <v>1</v>
      </c>
      <c r="D41" s="60">
        <v>1</v>
      </c>
    </row>
    <row r="42" spans="1:4" x14ac:dyDescent="0.25">
      <c r="A42" s="53" t="s">
        <v>196</v>
      </c>
      <c r="B42" s="60">
        <v>1</v>
      </c>
      <c r="C42" s="60">
        <v>1</v>
      </c>
      <c r="D42" s="60">
        <v>1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>C37-C40</f>
        <v>0</v>
      </c>
      <c r="D44" s="61">
        <f>D37-D40</f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</v>
      </c>
      <c r="C48" s="124">
        <f>C9</f>
        <v>1</v>
      </c>
      <c r="D48" s="124">
        <f>D9</f>
        <v>1</v>
      </c>
    </row>
    <row r="49" spans="1:4" x14ac:dyDescent="0.25">
      <c r="A49" s="127" t="s">
        <v>199</v>
      </c>
      <c r="B49" s="61">
        <f>B50-B51</f>
        <v>0</v>
      </c>
      <c r="C49" s="61">
        <f>C50-C51</f>
        <v>0</v>
      </c>
      <c r="D49" s="61">
        <f>D50-D51</f>
        <v>0</v>
      </c>
    </row>
    <row r="50" spans="1:4" x14ac:dyDescent="0.25">
      <c r="A50" s="128" t="s">
        <v>192</v>
      </c>
      <c r="B50" s="60">
        <v>1</v>
      </c>
      <c r="C50" s="60">
        <v>1</v>
      </c>
      <c r="D50" s="60">
        <v>1</v>
      </c>
    </row>
    <row r="51" spans="1:4" x14ac:dyDescent="0.25">
      <c r="A51" s="128" t="s">
        <v>195</v>
      </c>
      <c r="B51" s="60">
        <v>1</v>
      </c>
      <c r="C51" s="60">
        <v>1</v>
      </c>
      <c r="D51" s="60">
        <v>1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</v>
      </c>
      <c r="C53" s="60">
        <f>C14</f>
        <v>1</v>
      </c>
      <c r="D53" s="60">
        <f>D14</f>
        <v>1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>C18</f>
        <v>1</v>
      </c>
      <c r="D55" s="60">
        <f>D18</f>
        <v>1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1</v>
      </c>
      <c r="D57" s="61">
        <f>D48+D49-D53+D55</f>
        <v>1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>C57-C49</f>
        <v>1</v>
      </c>
      <c r="D59" s="61">
        <f>D57-D49</f>
        <v>1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1</v>
      </c>
      <c r="C63" s="122">
        <f>C10</f>
        <v>1</v>
      </c>
      <c r="D63" s="122">
        <f>D10</f>
        <v>1</v>
      </c>
    </row>
    <row r="64" spans="1:4" ht="30" x14ac:dyDescent="0.25">
      <c r="A64" s="127" t="s">
        <v>202</v>
      </c>
      <c r="B64" s="40">
        <f>B65-B66</f>
        <v>0</v>
      </c>
      <c r="C64" s="40">
        <f>C65-C66</f>
        <v>0</v>
      </c>
      <c r="D64" s="40">
        <f>D65-D66</f>
        <v>0</v>
      </c>
    </row>
    <row r="65" spans="1:4" x14ac:dyDescent="0.25">
      <c r="A65" s="128" t="s">
        <v>193</v>
      </c>
      <c r="B65" s="23">
        <v>1</v>
      </c>
      <c r="C65" s="23">
        <v>1</v>
      </c>
      <c r="D65" s="23">
        <v>1</v>
      </c>
    </row>
    <row r="66" spans="1:4" x14ac:dyDescent="0.25">
      <c r="A66" s="128" t="s">
        <v>196</v>
      </c>
      <c r="B66" s="23">
        <v>1</v>
      </c>
      <c r="C66" s="23">
        <v>1</v>
      </c>
      <c r="D66" s="23">
        <v>1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1</v>
      </c>
      <c r="C68" s="23">
        <f>C15</f>
        <v>1</v>
      </c>
      <c r="D68" s="23">
        <f>D15</f>
        <v>1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>C19</f>
        <v>1</v>
      </c>
      <c r="D70" s="23">
        <f>D19</f>
        <v>1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>C63+C64-C68+C70</f>
        <v>1</v>
      </c>
      <c r="D72" s="40">
        <f>D63+D64-D68+D70</f>
        <v>1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1</v>
      </c>
      <c r="D74" s="40">
        <f>D72-D64</f>
        <v>1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2</v>
      </c>
      <c r="Q2" s="18">
        <f>'Formato 4'!C8</f>
        <v>2</v>
      </c>
      <c r="R2" s="18">
        <f>'Formato 4'!D8</f>
        <v>2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</v>
      </c>
      <c r="Q3" s="18">
        <f>'Formato 4'!C9</f>
        <v>1</v>
      </c>
      <c r="R3" s="18">
        <f>'Formato 4'!D9</f>
        <v>1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1</v>
      </c>
      <c r="Q4" s="18">
        <f>'Formato 4'!C10</f>
        <v>1</v>
      </c>
      <c r="R4" s="18">
        <f>'Formato 4'!D10</f>
        <v>1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2</v>
      </c>
      <c r="Q6" s="18">
        <f>'Formato 4'!C13</f>
        <v>2</v>
      </c>
      <c r="R6" s="18">
        <f>'Formato 4'!D13</f>
        <v>2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1</v>
      </c>
      <c r="Q7" s="18">
        <f>'Formato 4'!C14</f>
        <v>1</v>
      </c>
      <c r="R7" s="18">
        <f>'Formato 4'!D14</f>
        <v>1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1</v>
      </c>
      <c r="Q8" s="18">
        <f>'Formato 4'!C15</f>
        <v>1</v>
      </c>
      <c r="R8" s="18">
        <f>'Formato 4'!D15</f>
        <v>1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2</v>
      </c>
      <c r="R9" s="18">
        <f>'Formato 4'!D17</f>
        <v>2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1</v>
      </c>
      <c r="R10" s="18">
        <f>'Formato 4'!D18</f>
        <v>1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1</v>
      </c>
      <c r="R11" s="18">
        <f>'Formato 4'!D19</f>
        <v>1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0</v>
      </c>
      <c r="Q12" s="18">
        <f>'Formato 4'!C21</f>
        <v>2</v>
      </c>
      <c r="R12" s="18">
        <f>'Formato 4'!D21</f>
        <v>2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0</v>
      </c>
      <c r="Q13" s="18">
        <f>'Formato 4'!C23</f>
        <v>2</v>
      </c>
      <c r="R13" s="18">
        <f>'Formato 4'!D23</f>
        <v>2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0</v>
      </c>
      <c r="Q14" s="18">
        <f>'Formato 4'!C25</f>
        <v>0</v>
      </c>
      <c r="R14" s="18">
        <f>'Formato 4'!D25</f>
        <v>0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2</v>
      </c>
      <c r="Q15">
        <f>'Formato 4'!C29</f>
        <v>2</v>
      </c>
      <c r="R15">
        <f>'Formato 4'!D29</f>
        <v>2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1</v>
      </c>
      <c r="Q16">
        <f>'Formato 4'!C30</f>
        <v>1</v>
      </c>
      <c r="R16">
        <f>'Formato 4'!D30</f>
        <v>1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1</v>
      </c>
      <c r="Q17">
        <f>'Formato 4'!C31</f>
        <v>1</v>
      </c>
      <c r="R17">
        <f>'Formato 4'!D31</f>
        <v>1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2</v>
      </c>
      <c r="Q18">
        <f>'Formato 4'!C33</f>
        <v>2</v>
      </c>
      <c r="R18">
        <f>'Formato 4'!D33</f>
        <v>2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2</v>
      </c>
      <c r="Q19">
        <f>'Formato 4'!C37</f>
        <v>2</v>
      </c>
      <c r="R19">
        <f>'Formato 4'!D37</f>
        <v>2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1</v>
      </c>
      <c r="Q20">
        <f>'Formato 4'!C38</f>
        <v>1</v>
      </c>
      <c r="R20">
        <f>'Formato 4'!D38</f>
        <v>1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1</v>
      </c>
      <c r="Q21">
        <f>'Formato 4'!C39</f>
        <v>1</v>
      </c>
      <c r="R21">
        <f>'Formato 4'!D39</f>
        <v>1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2</v>
      </c>
      <c r="Q22">
        <f>'Formato 4'!C40</f>
        <v>2</v>
      </c>
      <c r="R22">
        <f>'Formato 4'!D40</f>
        <v>2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1</v>
      </c>
      <c r="Q23">
        <f>'Formato 4'!C41</f>
        <v>1</v>
      </c>
      <c r="R23">
        <f>'Formato 4'!D41</f>
        <v>1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1</v>
      </c>
      <c r="Q24">
        <f>'Formato 4'!C42</f>
        <v>1</v>
      </c>
      <c r="R24">
        <f>'Formato 4'!D42</f>
        <v>1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</v>
      </c>
      <c r="Q26">
        <f>'Formato 4'!C48</f>
        <v>1</v>
      </c>
      <c r="R26">
        <f>'Formato 4'!D48</f>
        <v>1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1</v>
      </c>
      <c r="Q28">
        <f>'Formato 4'!C50</f>
        <v>1</v>
      </c>
      <c r="R28">
        <f>'Formato 4'!D50</f>
        <v>1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1</v>
      </c>
      <c r="Q29">
        <f>'Formato 4'!C51</f>
        <v>1</v>
      </c>
      <c r="R29">
        <f>'Formato 4'!D51</f>
        <v>1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1</v>
      </c>
      <c r="Q30">
        <f>'Formato 4'!C53</f>
        <v>1</v>
      </c>
      <c r="R30">
        <f>'Formato 4'!D53</f>
        <v>1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1</v>
      </c>
      <c r="R31">
        <f>'Formato 4'!D55</f>
        <v>1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1</v>
      </c>
      <c r="Q32">
        <f>'Formato 4'!C63</f>
        <v>1</v>
      </c>
      <c r="R32">
        <f>'Formato 4'!D63</f>
        <v>1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1</v>
      </c>
      <c r="Q34">
        <f>'Formato 4'!C65</f>
        <v>1</v>
      </c>
      <c r="R34">
        <f>'Formato 4'!D65</f>
        <v>1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1</v>
      </c>
      <c r="Q35">
        <f>'Formato 4'!C66</f>
        <v>1</v>
      </c>
      <c r="R35">
        <f>'Formato 4'!D66</f>
        <v>1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1</v>
      </c>
      <c r="Q36">
        <f>'Formato 4'!C68</f>
        <v>1</v>
      </c>
      <c r="R36">
        <f>'Formato 4'!D68</f>
        <v>1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1</v>
      </c>
      <c r="R37">
        <f>'Formato 4'!D70</f>
        <v>1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0</v>
      </c>
      <c r="Q38">
        <f>'Formato 4'!C72</f>
        <v>1</v>
      </c>
      <c r="R38">
        <f>'Formato 4'!D72</f>
        <v>1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0</v>
      </c>
      <c r="Q39">
        <f>'Formato 4'!C74</f>
        <v>1</v>
      </c>
      <c r="R39">
        <f>'Formato 4'!D74</f>
        <v>1</v>
      </c>
    </row>
  </sheetData>
  <sheetProtection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B65" sqref="B65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x14ac:dyDescent="0.25">
      <c r="A2" s="153" t="str">
        <f>ENTE_PUBLICO_A</f>
        <v>Municipio de Santa Catarina,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x14ac:dyDescent="0.25">
      <c r="A4" s="159" t="str">
        <f>TRIMESTRE</f>
        <v>Del 1 de enero al 30 de marzo de 2022 (b)</v>
      </c>
      <c r="B4" s="160"/>
      <c r="C4" s="160"/>
      <c r="D4" s="160"/>
      <c r="E4" s="160"/>
      <c r="F4" s="160"/>
      <c r="G4" s="161"/>
    </row>
    <row r="5" spans="1:8" x14ac:dyDescent="0.2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1576546.6300000001</v>
      </c>
      <c r="C9" s="60">
        <v>0</v>
      </c>
      <c r="D9" s="60">
        <v>1576546.6300000001</v>
      </c>
      <c r="E9" s="60">
        <v>1462834.14</v>
      </c>
      <c r="F9" s="60">
        <v>1462834.14</v>
      </c>
      <c r="G9" s="60">
        <f>F9-B9</f>
        <v>-113712.49000000022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2860746.3799999994</v>
      </c>
      <c r="C12" s="60">
        <v>0</v>
      </c>
      <c r="D12" s="60">
        <v>2860746.3799999994</v>
      </c>
      <c r="E12" s="60">
        <v>797957.49</v>
      </c>
      <c r="F12" s="60">
        <v>797957.49</v>
      </c>
      <c r="G12" s="60">
        <f t="shared" si="0"/>
        <v>-2062788.8899999994</v>
      </c>
    </row>
    <row r="13" spans="1:8" x14ac:dyDescent="0.25">
      <c r="A13" s="53" t="s">
        <v>220</v>
      </c>
      <c r="B13" s="60">
        <v>38600.119999999995</v>
      </c>
      <c r="C13" s="60">
        <v>0</v>
      </c>
      <c r="D13" s="60">
        <v>38600.119999999995</v>
      </c>
      <c r="E13" s="60">
        <v>168664.44</v>
      </c>
      <c r="F13" s="60">
        <v>152999.44</v>
      </c>
      <c r="G13" s="60">
        <f t="shared" si="0"/>
        <v>114399.32</v>
      </c>
    </row>
    <row r="14" spans="1:8" x14ac:dyDescent="0.25">
      <c r="A14" s="53" t="s">
        <v>221</v>
      </c>
      <c r="B14" s="60">
        <v>159680.84</v>
      </c>
      <c r="C14" s="60">
        <v>0</v>
      </c>
      <c r="D14" s="60">
        <v>159680.84</v>
      </c>
      <c r="E14" s="60">
        <v>183044.44999999998</v>
      </c>
      <c r="F14" s="60">
        <v>183044.44999999998</v>
      </c>
      <c r="G14" s="60">
        <f t="shared" si="0"/>
        <v>23363.609999999986</v>
      </c>
    </row>
    <row r="15" spans="1:8" x14ac:dyDescent="0.25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f t="shared" si="0"/>
        <v>0</v>
      </c>
    </row>
    <row r="16" spans="1:8" x14ac:dyDescent="0.25">
      <c r="A16" s="10" t="s">
        <v>275</v>
      </c>
      <c r="B16" s="60">
        <f t="shared" ref="B16:G16" si="1">SUM(B17:B27)</f>
        <v>44940335</v>
      </c>
      <c r="C16" s="60">
        <f t="shared" si="1"/>
        <v>5734820</v>
      </c>
      <c r="D16" s="60">
        <f t="shared" si="1"/>
        <v>50675155</v>
      </c>
      <c r="E16" s="60">
        <f t="shared" si="1"/>
        <v>20337394.149999999</v>
      </c>
      <c r="F16" s="60">
        <f t="shared" si="1"/>
        <v>20337394.149999999</v>
      </c>
      <c r="G16" s="60">
        <f t="shared" si="1"/>
        <v>-25732399.850000001</v>
      </c>
    </row>
    <row r="17" spans="1:7" x14ac:dyDescent="0.25">
      <c r="A17" s="63" t="s">
        <v>223</v>
      </c>
      <c r="B17" s="60">
        <v>16651523</v>
      </c>
      <c r="C17" s="60">
        <v>1817166</v>
      </c>
      <c r="D17" s="60">
        <v>18468689</v>
      </c>
      <c r="E17" s="60">
        <v>20337394.149999999</v>
      </c>
      <c r="F17" s="60">
        <v>20337394.149999999</v>
      </c>
      <c r="G17" s="60">
        <f>F17-B17</f>
        <v>3685871.1499999985</v>
      </c>
    </row>
    <row r="18" spans="1:7" x14ac:dyDescent="0.25">
      <c r="A18" s="63" t="s">
        <v>224</v>
      </c>
      <c r="B18" s="60">
        <v>25277609</v>
      </c>
      <c r="C18" s="60">
        <v>3159044</v>
      </c>
      <c r="D18" s="60">
        <v>28436653</v>
      </c>
      <c r="E18" s="60">
        <v>0</v>
      </c>
      <c r="F18" s="60">
        <v>0</v>
      </c>
      <c r="G18" s="60">
        <f t="shared" ref="G18:G27" si="2">F18-B18</f>
        <v>-25277609</v>
      </c>
    </row>
    <row r="19" spans="1:7" x14ac:dyDescent="0.25">
      <c r="A19" s="63" t="s">
        <v>225</v>
      </c>
      <c r="B19" s="60">
        <v>267617</v>
      </c>
      <c r="C19" s="60">
        <v>38471</v>
      </c>
      <c r="D19" s="60">
        <v>306088</v>
      </c>
      <c r="E19" s="60">
        <v>0</v>
      </c>
      <c r="F19" s="60">
        <v>0</v>
      </c>
      <c r="G19" s="60">
        <f t="shared" si="2"/>
        <v>-267617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1491889</v>
      </c>
      <c r="C22" s="60">
        <v>46083</v>
      </c>
      <c r="D22" s="60">
        <v>1537972</v>
      </c>
      <c r="E22" s="60">
        <v>0</v>
      </c>
      <c r="F22" s="60">
        <v>0</v>
      </c>
      <c r="G22" s="60">
        <f t="shared" si="2"/>
        <v>-1491889</v>
      </c>
    </row>
    <row r="23" spans="1:7" x14ac:dyDescent="0.25">
      <c r="A23" s="63" t="s">
        <v>229</v>
      </c>
      <c r="B23" s="24">
        <v>0</v>
      </c>
      <c r="C23" s="60">
        <v>0</v>
      </c>
      <c r="D23" s="60">
        <v>0</v>
      </c>
      <c r="E23" s="60">
        <v>0</v>
      </c>
      <c r="F23" s="60">
        <v>0</v>
      </c>
      <c r="G23" s="60">
        <f>F23-B26</f>
        <v>-1129459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122238</v>
      </c>
      <c r="C25" s="60">
        <v>-12573</v>
      </c>
      <c r="D25" s="60">
        <v>109665</v>
      </c>
      <c r="E25" s="60">
        <v>0</v>
      </c>
      <c r="F25" s="60">
        <v>0</v>
      </c>
      <c r="G25" s="60">
        <f t="shared" si="2"/>
        <v>-122238</v>
      </c>
    </row>
    <row r="26" spans="1:7" x14ac:dyDescent="0.25">
      <c r="A26" s="63" t="s">
        <v>232</v>
      </c>
      <c r="B26" s="60">
        <v>1129459</v>
      </c>
      <c r="C26" s="60">
        <v>686629</v>
      </c>
      <c r="D26" s="60">
        <v>1816088</v>
      </c>
      <c r="E26" s="60">
        <v>0</v>
      </c>
      <c r="F26" s="60">
        <v>0</v>
      </c>
      <c r="G26" s="60">
        <f t="shared" si="2"/>
        <v>-1129459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 t="shared" ref="B28:G28" si="3">SUM(B29:B33)</f>
        <v>477583.22</v>
      </c>
      <c r="C28" s="60">
        <f t="shared" si="3"/>
        <v>161170.78</v>
      </c>
      <c r="D28" s="60">
        <f t="shared" si="3"/>
        <v>638754</v>
      </c>
      <c r="E28" s="60">
        <f t="shared" si="3"/>
        <v>0</v>
      </c>
      <c r="F28" s="60">
        <f t="shared" si="3"/>
        <v>0</v>
      </c>
      <c r="G28" s="60">
        <f t="shared" si="3"/>
        <v>-477583.22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 t="shared" ref="G29:G34" si="4"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 t="shared" si="4"/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si="4"/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477583.22</v>
      </c>
      <c r="C33" s="60">
        <v>161170.78</v>
      </c>
      <c r="D33" s="60">
        <v>638754</v>
      </c>
      <c r="E33" s="60">
        <v>0</v>
      </c>
      <c r="F33" s="60">
        <v>0</v>
      </c>
      <c r="G33" s="60">
        <f t="shared" si="4"/>
        <v>-477583.22</v>
      </c>
    </row>
    <row r="34" spans="1:8" x14ac:dyDescent="0.25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4"/>
        <v>0</v>
      </c>
    </row>
    <row r="35" spans="1:8" x14ac:dyDescent="0.25">
      <c r="A35" s="53" t="s">
        <v>241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f t="shared" ref="G35" si="5"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SUM(B38:B39)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 t="shared" ref="B41:G41" si="7">SUM(B9,B10,B11,B12,B13,B14,B15,B16,B28,B34,B35,B37)</f>
        <v>50053492.189999998</v>
      </c>
      <c r="C41" s="61">
        <f t="shared" si="7"/>
        <v>5895990.7800000003</v>
      </c>
      <c r="D41" s="61">
        <f t="shared" si="7"/>
        <v>55949482.969999999</v>
      </c>
      <c r="E41" s="61">
        <f t="shared" si="7"/>
        <v>22949894.669999998</v>
      </c>
      <c r="F41" s="61">
        <f t="shared" si="7"/>
        <v>22934229.669999998</v>
      </c>
      <c r="G41" s="61">
        <f t="shared" si="7"/>
        <v>-28248721.52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 t="shared" ref="B45:G45" si="8">SUM(B46:B53)</f>
        <v>12474706</v>
      </c>
      <c r="C45" s="60">
        <f t="shared" si="8"/>
        <v>4414969</v>
      </c>
      <c r="D45" s="60">
        <f t="shared" si="8"/>
        <v>16889675</v>
      </c>
      <c r="E45" s="60">
        <f t="shared" si="8"/>
        <v>0</v>
      </c>
      <c r="F45" s="60">
        <f t="shared" si="8"/>
        <v>0</v>
      </c>
      <c r="G45" s="60">
        <f t="shared" si="8"/>
        <v>-12474706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8753664</v>
      </c>
      <c r="C48" s="60">
        <v>3865032</v>
      </c>
      <c r="D48" s="60">
        <v>12618696</v>
      </c>
      <c r="E48" s="60">
        <v>0</v>
      </c>
      <c r="F48" s="60">
        <v>0</v>
      </c>
      <c r="G48" s="60">
        <f t="shared" si="9"/>
        <v>-8753664</v>
      </c>
    </row>
    <row r="49" spans="1:7" ht="30" x14ac:dyDescent="0.25">
      <c r="A49" s="69" t="s">
        <v>252</v>
      </c>
      <c r="B49" s="60">
        <v>3721042</v>
      </c>
      <c r="C49" s="60">
        <v>549937</v>
      </c>
      <c r="D49" s="60">
        <v>4270979</v>
      </c>
      <c r="E49" s="60">
        <v>0</v>
      </c>
      <c r="F49" s="60">
        <v>0</v>
      </c>
      <c r="G49" s="60">
        <f t="shared" si="9"/>
        <v>-3721042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 t="shared" ref="B54:G54" si="10">SUM(B55:B58)</f>
        <v>0</v>
      </c>
      <c r="C54" s="60">
        <f t="shared" si="10"/>
        <v>0</v>
      </c>
      <c r="D54" s="60">
        <f t="shared" si="10"/>
        <v>0</v>
      </c>
      <c r="E54" s="60">
        <f t="shared" si="10"/>
        <v>4656860.33</v>
      </c>
      <c r="F54" s="60">
        <f t="shared" si="10"/>
        <v>4656860.33</v>
      </c>
      <c r="G54" s="60">
        <f t="shared" si="10"/>
        <v>4656860.33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>F57-B57</f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4656860.33</v>
      </c>
      <c r="F58" s="60">
        <v>4656860.33</v>
      </c>
      <c r="G58" s="60">
        <f>F58-B58</f>
        <v>4656860.33</v>
      </c>
    </row>
    <row r="59" spans="1:7" x14ac:dyDescent="0.25">
      <c r="A59" s="53" t="s">
        <v>262</v>
      </c>
      <c r="B59" s="60">
        <f t="shared" ref="B59:G59" si="11">SUM(B60:B61)</f>
        <v>0</v>
      </c>
      <c r="C59" s="60">
        <f t="shared" si="11"/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 t="shared" ref="B65:G65" si="12">B45+B54+B59+B62+B63</f>
        <v>12474706</v>
      </c>
      <c r="C65" s="61">
        <f t="shared" si="12"/>
        <v>4414969</v>
      </c>
      <c r="D65" s="61">
        <f t="shared" si="12"/>
        <v>16889675</v>
      </c>
      <c r="E65" s="61">
        <f t="shared" si="12"/>
        <v>4656860.33</v>
      </c>
      <c r="F65" s="61">
        <f t="shared" si="12"/>
        <v>4656860.33</v>
      </c>
      <c r="G65" s="61">
        <f t="shared" si="12"/>
        <v>-7817845.6699999999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v>0</v>
      </c>
      <c r="C67" s="61">
        <v>0</v>
      </c>
      <c r="D67" s="61">
        <v>0</v>
      </c>
      <c r="E67" s="61">
        <v>0</v>
      </c>
      <c r="F67" s="61">
        <v>0</v>
      </c>
      <c r="G67" s="61">
        <f t="shared" ref="G67" si="13">G68</f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 t="shared" ref="B70:G70" si="14">B41+B65+B67</f>
        <v>62528198.189999998</v>
      </c>
      <c r="C70" s="61">
        <f t="shared" si="14"/>
        <v>10310959.780000001</v>
      </c>
      <c r="D70" s="61">
        <f t="shared" si="14"/>
        <v>72839157.969999999</v>
      </c>
      <c r="E70" s="61">
        <f t="shared" si="14"/>
        <v>27606755</v>
      </c>
      <c r="F70" s="61">
        <f t="shared" si="14"/>
        <v>27591090</v>
      </c>
      <c r="G70" s="61">
        <f t="shared" si="14"/>
        <v>-36066567.189999998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 t="shared" ref="B75:G75" si="15">B73+B74</f>
        <v>0</v>
      </c>
      <c r="C75" s="61">
        <f t="shared" si="15"/>
        <v>0</v>
      </c>
      <c r="D75" s="61">
        <f t="shared" si="15"/>
        <v>0</v>
      </c>
      <c r="E75" s="61">
        <f t="shared" si="15"/>
        <v>0</v>
      </c>
      <c r="F75" s="61">
        <f t="shared" si="15"/>
        <v>0</v>
      </c>
      <c r="G75" s="61">
        <f t="shared" si="15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C9:G75 B9:B22 B24:B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1576546.6300000001</v>
      </c>
      <c r="Q3" s="18">
        <f>'Formato 5'!C9</f>
        <v>0</v>
      </c>
      <c r="R3" s="18">
        <f>'Formato 5'!D9</f>
        <v>1576546.6300000001</v>
      </c>
      <c r="S3" s="18">
        <f>'Formato 5'!E9</f>
        <v>1462834.14</v>
      </c>
      <c r="T3" s="18">
        <f>'Formato 5'!F9</f>
        <v>1462834.14</v>
      </c>
      <c r="U3" s="18">
        <f>'Formato 5'!G9</f>
        <v>-113712.49000000022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2860746.3799999994</v>
      </c>
      <c r="Q6" s="18">
        <f>'Formato 5'!C12</f>
        <v>0</v>
      </c>
      <c r="R6" s="18">
        <f>'Formato 5'!D12</f>
        <v>2860746.3799999994</v>
      </c>
      <c r="S6" s="18">
        <f>'Formato 5'!E12</f>
        <v>797957.49</v>
      </c>
      <c r="T6" s="18">
        <f>'Formato 5'!F12</f>
        <v>797957.49</v>
      </c>
      <c r="U6" s="18">
        <f>'Formato 5'!G12</f>
        <v>-2062788.8899999994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38600.119999999995</v>
      </c>
      <c r="Q7" s="18">
        <f>'Formato 5'!C13</f>
        <v>0</v>
      </c>
      <c r="R7" s="18">
        <f>'Formato 5'!D13</f>
        <v>38600.119999999995</v>
      </c>
      <c r="S7" s="18">
        <f>'Formato 5'!E13</f>
        <v>168664.44</v>
      </c>
      <c r="T7" s="18">
        <f>'Formato 5'!F13</f>
        <v>152999.44</v>
      </c>
      <c r="U7" s="18">
        <f>'Formato 5'!G13</f>
        <v>114399.32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159680.84</v>
      </c>
      <c r="Q8" s="18">
        <f>'Formato 5'!C14</f>
        <v>0</v>
      </c>
      <c r="R8" s="18">
        <f>'Formato 5'!D14</f>
        <v>159680.84</v>
      </c>
      <c r="S8" s="18">
        <f>'Formato 5'!E14</f>
        <v>183044.44999999998</v>
      </c>
      <c r="T8" s="18">
        <f>'Formato 5'!F14</f>
        <v>183044.44999999998</v>
      </c>
      <c r="U8" s="18">
        <f>'Formato 5'!G14</f>
        <v>23363.609999999986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44940335</v>
      </c>
      <c r="Q10" s="18">
        <f>'Formato 5'!C16</f>
        <v>5734820</v>
      </c>
      <c r="R10" s="18">
        <f>'Formato 5'!D16</f>
        <v>50675155</v>
      </c>
      <c r="S10" s="18">
        <f>'Formato 5'!E16</f>
        <v>20337394.149999999</v>
      </c>
      <c r="T10" s="18">
        <f>'Formato 5'!F16</f>
        <v>20337394.149999999</v>
      </c>
      <c r="U10" s="18">
        <f>'Formato 5'!G16</f>
        <v>-25732399.850000001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16651523</v>
      </c>
      <c r="Q11" s="18">
        <f>'Formato 5'!C17</f>
        <v>1817166</v>
      </c>
      <c r="R11" s="18">
        <f>'Formato 5'!D17</f>
        <v>18468689</v>
      </c>
      <c r="S11" s="18">
        <f>'Formato 5'!E17</f>
        <v>20337394.149999999</v>
      </c>
      <c r="T11" s="18">
        <f>'Formato 5'!F17</f>
        <v>20337394.149999999</v>
      </c>
      <c r="U11" s="18">
        <f>'Formato 5'!G17</f>
        <v>3685871.1499999985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25277609</v>
      </c>
      <c r="Q12" s="18">
        <f>'Formato 5'!C18</f>
        <v>3159044</v>
      </c>
      <c r="R12" s="18">
        <f>'Formato 5'!D18</f>
        <v>28436653</v>
      </c>
      <c r="S12" s="18">
        <f>'Formato 5'!E18</f>
        <v>0</v>
      </c>
      <c r="T12" s="18">
        <f>'Formato 5'!F18</f>
        <v>0</v>
      </c>
      <c r="U12" s="18">
        <f>'Formato 5'!G18</f>
        <v>-25277609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267617</v>
      </c>
      <c r="Q13" s="18">
        <f>'Formato 5'!C19</f>
        <v>38471</v>
      </c>
      <c r="R13" s="18">
        <f>'Formato 5'!D19</f>
        <v>306088</v>
      </c>
      <c r="S13" s="18">
        <f>'Formato 5'!E19</f>
        <v>0</v>
      </c>
      <c r="T13" s="18">
        <f>'Formato 5'!F19</f>
        <v>0</v>
      </c>
      <c r="U13" s="18">
        <f>'Formato 5'!G19</f>
        <v>-267617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1491889</v>
      </c>
      <c r="Q16" s="18">
        <f>'Formato 5'!C22</f>
        <v>46083</v>
      </c>
      <c r="R16" s="18">
        <f>'Formato 5'!D22</f>
        <v>1537972</v>
      </c>
      <c r="S16" s="18">
        <f>'Formato 5'!E22</f>
        <v>0</v>
      </c>
      <c r="T16" s="18">
        <f>'Formato 5'!F22</f>
        <v>0</v>
      </c>
      <c r="U16" s="18">
        <f>'Formato 5'!G22</f>
        <v>-1491889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5'!B26</f>
        <v>1129459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-1129459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122238</v>
      </c>
      <c r="Q19" s="18">
        <f>'Formato 5'!C25</f>
        <v>-12573</v>
      </c>
      <c r="R19" s="18">
        <f>'Formato 5'!D25</f>
        <v>109665</v>
      </c>
      <c r="S19" s="18">
        <f>'Formato 5'!E25</f>
        <v>0</v>
      </c>
      <c r="T19" s="18">
        <f>'Formato 5'!F25</f>
        <v>0</v>
      </c>
      <c r="U19" s="18">
        <f>'Formato 5'!G25</f>
        <v>-122238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 t="e">
        <f>'Formato 5'!#REF!</f>
        <v>#REF!</v>
      </c>
      <c r="Q20" s="18">
        <f>'Formato 5'!C26</f>
        <v>686629</v>
      </c>
      <c r="R20" s="18">
        <f>'Formato 5'!D26</f>
        <v>1816088</v>
      </c>
      <c r="S20" s="18">
        <f>'Formato 5'!E26</f>
        <v>0</v>
      </c>
      <c r="T20" s="18">
        <f>'Formato 5'!F26</f>
        <v>0</v>
      </c>
      <c r="U20" s="18">
        <f>'Formato 5'!G26</f>
        <v>-1129459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477583.22</v>
      </c>
      <c r="Q22" s="18">
        <f>'Formato 5'!C28</f>
        <v>161170.78</v>
      </c>
      <c r="R22" s="18">
        <f>'Formato 5'!D28</f>
        <v>638754</v>
      </c>
      <c r="S22" s="18">
        <f>'Formato 5'!E28</f>
        <v>0</v>
      </c>
      <c r="T22" s="18">
        <f>'Formato 5'!F28</f>
        <v>0</v>
      </c>
      <c r="U22" s="18">
        <f>'Formato 5'!G28</f>
        <v>-477583.22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477583.22</v>
      </c>
      <c r="Q27" s="18">
        <f>'Formato 5'!C33</f>
        <v>161170.78</v>
      </c>
      <c r="R27" s="18">
        <f>'Formato 5'!D33</f>
        <v>638754</v>
      </c>
      <c r="S27" s="18">
        <f>'Formato 5'!E33</f>
        <v>0</v>
      </c>
      <c r="T27" s="18">
        <f>'Formato 5'!F33</f>
        <v>0</v>
      </c>
      <c r="U27" s="18">
        <f>'Formato 5'!G33</f>
        <v>-477583.22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50053492.189999998</v>
      </c>
      <c r="Q34">
        <f>'Formato 5'!C41</f>
        <v>5895990.7800000003</v>
      </c>
      <c r="R34">
        <f>'Formato 5'!D41</f>
        <v>55949482.969999999</v>
      </c>
      <c r="S34">
        <f>'Formato 5'!E41</f>
        <v>22949894.669999998</v>
      </c>
      <c r="T34">
        <f>'Formato 5'!F41</f>
        <v>22934229.669999998</v>
      </c>
      <c r="U34">
        <f>'Formato 5'!G41</f>
        <v>-28248721.52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12474706</v>
      </c>
      <c r="Q37">
        <f>'Formato 5'!C45</f>
        <v>4414969</v>
      </c>
      <c r="R37">
        <f>'Formato 5'!D45</f>
        <v>16889675</v>
      </c>
      <c r="S37">
        <f>'Formato 5'!E45</f>
        <v>0</v>
      </c>
      <c r="T37">
        <f>'Formato 5'!F45</f>
        <v>0</v>
      </c>
      <c r="U37">
        <f>'Formato 5'!G45</f>
        <v>-12474706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8753664</v>
      </c>
      <c r="Q40">
        <f>'Formato 5'!C48</f>
        <v>3865032</v>
      </c>
      <c r="R40">
        <f>'Formato 5'!D48</f>
        <v>12618696</v>
      </c>
      <c r="S40">
        <f>'Formato 5'!E48</f>
        <v>0</v>
      </c>
      <c r="T40">
        <f>'Formato 5'!F48</f>
        <v>0</v>
      </c>
      <c r="U40">
        <f>'Formato 5'!G48</f>
        <v>-8753664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3721042</v>
      </c>
      <c r="Q41">
        <f>'Formato 5'!C49</f>
        <v>549937</v>
      </c>
      <c r="R41">
        <f>'Formato 5'!D49</f>
        <v>4270979</v>
      </c>
      <c r="S41">
        <f>'Formato 5'!E49</f>
        <v>0</v>
      </c>
      <c r="T41">
        <f>'Formato 5'!F49</f>
        <v>0</v>
      </c>
      <c r="U41">
        <f>'Formato 5'!G49</f>
        <v>-3721042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4656860.33</v>
      </c>
      <c r="T46">
        <f>'Formato 5'!F54</f>
        <v>4656860.33</v>
      </c>
      <c r="U46">
        <f>'Formato 5'!G54</f>
        <v>4656860.33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4656860.33</v>
      </c>
      <c r="T50">
        <f>'Formato 5'!F58</f>
        <v>4656860.33</v>
      </c>
      <c r="U50">
        <f>'Formato 5'!G58</f>
        <v>4656860.33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12474706</v>
      </c>
      <c r="Q56">
        <f>'Formato 5'!C65</f>
        <v>4414969</v>
      </c>
      <c r="R56">
        <f>'Formato 5'!D65</f>
        <v>16889675</v>
      </c>
      <c r="S56">
        <f>'Formato 5'!E65</f>
        <v>4656860.33</v>
      </c>
      <c r="T56">
        <f>'Formato 5'!F65</f>
        <v>4656860.33</v>
      </c>
      <c r="U56">
        <f>'Formato 5'!G65</f>
        <v>-7817845.6699999999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Normal="100" zoomScalePageLayoutView="90" workbookViewId="0">
      <selection activeCell="A10" sqref="A1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3277</v>
      </c>
      <c r="B1" s="171"/>
      <c r="C1" s="171"/>
      <c r="D1" s="171"/>
      <c r="E1" s="171"/>
      <c r="F1" s="171"/>
      <c r="G1" s="171"/>
    </row>
    <row r="2" spans="1:7" x14ac:dyDescent="0.25">
      <c r="A2" s="175" t="str">
        <f>ENTE_PUBLICO_A</f>
        <v>Municipio de Santa Catarina,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x14ac:dyDescent="0.25">
      <c r="A5" s="177" t="str">
        <f>TRIMESTRE</f>
        <v>Del 1 de enero al 30 de marzo de 2022 (b)</v>
      </c>
      <c r="B5" s="177"/>
      <c r="C5" s="177"/>
      <c r="D5" s="177"/>
      <c r="E5" s="177"/>
      <c r="F5" s="177"/>
      <c r="G5" s="177"/>
    </row>
    <row r="6" spans="1:7" x14ac:dyDescent="0.2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x14ac:dyDescent="0.25">
      <c r="A9" s="82" t="s">
        <v>285</v>
      </c>
      <c r="B9" s="79">
        <f t="shared" ref="B9:G9" si="0">SUM(B10,B18,B28,B38,B48,B58,B62,B71,B75)</f>
        <v>64670785.169999994</v>
      </c>
      <c r="C9" s="79">
        <f t="shared" si="0"/>
        <v>14688088.970000001</v>
      </c>
      <c r="D9" s="79">
        <f t="shared" si="0"/>
        <v>79358874.140000001</v>
      </c>
      <c r="E9" s="79">
        <f t="shared" si="0"/>
        <v>13615895.959999999</v>
      </c>
      <c r="F9" s="79">
        <f t="shared" si="0"/>
        <v>13605895.959999999</v>
      </c>
      <c r="G9" s="79">
        <f t="shared" si="0"/>
        <v>65742978.180000007</v>
      </c>
    </row>
    <row r="10" spans="1:7" x14ac:dyDescent="0.25">
      <c r="A10" s="83" t="s">
        <v>286</v>
      </c>
      <c r="B10" s="80">
        <f t="shared" ref="B10:G10" si="1">SUM(B11:B17)</f>
        <v>35760714.57</v>
      </c>
      <c r="C10" s="80">
        <f t="shared" si="1"/>
        <v>3086198.25</v>
      </c>
      <c r="D10" s="80">
        <f t="shared" si="1"/>
        <v>38846912.82</v>
      </c>
      <c r="E10" s="80">
        <f t="shared" si="1"/>
        <v>5829766.6400000006</v>
      </c>
      <c r="F10" s="80">
        <f t="shared" si="1"/>
        <v>5829766.6400000006</v>
      </c>
      <c r="G10" s="80">
        <f t="shared" si="1"/>
        <v>33017146.179999996</v>
      </c>
    </row>
    <row r="11" spans="1:7" x14ac:dyDescent="0.25">
      <c r="A11" s="84" t="s">
        <v>287</v>
      </c>
      <c r="B11" s="80">
        <v>22661143.32</v>
      </c>
      <c r="C11" s="80">
        <v>2032169.3299999996</v>
      </c>
      <c r="D11" s="80">
        <v>24693312.649999999</v>
      </c>
      <c r="E11" s="80">
        <v>4629776.66</v>
      </c>
      <c r="F11" s="80">
        <v>4629776.66</v>
      </c>
      <c r="G11" s="80">
        <f t="shared" ref="G11:G17" si="2">D11-E11</f>
        <v>20063535.989999998</v>
      </c>
    </row>
    <row r="12" spans="1:7" x14ac:dyDescent="0.25">
      <c r="A12" s="84" t="s">
        <v>288</v>
      </c>
      <c r="B12" s="80">
        <v>2928654.65</v>
      </c>
      <c r="C12" s="80">
        <v>571345.35</v>
      </c>
      <c r="D12" s="80">
        <v>3500000</v>
      </c>
      <c r="E12" s="80">
        <v>471970.36</v>
      </c>
      <c r="F12" s="80">
        <v>471970.36</v>
      </c>
      <c r="G12" s="80">
        <f t="shared" si="2"/>
        <v>3028029.64</v>
      </c>
    </row>
    <row r="13" spans="1:7" x14ac:dyDescent="0.25">
      <c r="A13" s="84" t="s">
        <v>289</v>
      </c>
      <c r="B13" s="80">
        <v>4285417.2000000011</v>
      </c>
      <c r="C13" s="80">
        <v>349745.68</v>
      </c>
      <c r="D13" s="80">
        <v>4635162.8800000008</v>
      </c>
      <c r="E13" s="80">
        <v>60900</v>
      </c>
      <c r="F13" s="80">
        <v>60900</v>
      </c>
      <c r="G13" s="80">
        <f t="shared" si="2"/>
        <v>4574262.8800000008</v>
      </c>
    </row>
    <row r="14" spans="1:7" x14ac:dyDescent="0.25">
      <c r="A14" s="84" t="s">
        <v>290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2"/>
        <v>0</v>
      </c>
    </row>
    <row r="15" spans="1:7" x14ac:dyDescent="0.25">
      <c r="A15" s="84" t="s">
        <v>291</v>
      </c>
      <c r="B15" s="80">
        <v>5885499.3999999994</v>
      </c>
      <c r="C15" s="80">
        <v>132937.88999999993</v>
      </c>
      <c r="D15" s="80">
        <v>6018437.2899999991</v>
      </c>
      <c r="E15" s="80">
        <v>667119.62</v>
      </c>
      <c r="F15" s="80">
        <v>667119.62</v>
      </c>
      <c r="G15" s="80">
        <f t="shared" si="2"/>
        <v>5351317.669999999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 t="shared" ref="B18:G18" si="3">SUM(B19:B27)</f>
        <v>3828723.1799999997</v>
      </c>
      <c r="C18" s="80">
        <f t="shared" si="3"/>
        <v>1579900</v>
      </c>
      <c r="D18" s="80">
        <f t="shared" si="3"/>
        <v>5408623.1799999997</v>
      </c>
      <c r="E18" s="80">
        <f t="shared" si="3"/>
        <v>885692.92</v>
      </c>
      <c r="F18" s="80">
        <f t="shared" si="3"/>
        <v>885692.92</v>
      </c>
      <c r="G18" s="80">
        <f t="shared" si="3"/>
        <v>4522930.26</v>
      </c>
    </row>
    <row r="19" spans="1:7" x14ac:dyDescent="0.25">
      <c r="A19" s="84" t="s">
        <v>295</v>
      </c>
      <c r="B19" s="80">
        <v>530080</v>
      </c>
      <c r="C19" s="80">
        <v>404500</v>
      </c>
      <c r="D19" s="80">
        <v>934580</v>
      </c>
      <c r="E19" s="80">
        <v>457093.87000000011</v>
      </c>
      <c r="F19" s="80">
        <v>457093.87000000011</v>
      </c>
      <c r="G19" s="80">
        <f>D19-E19</f>
        <v>477486.12999999989</v>
      </c>
    </row>
    <row r="20" spans="1:7" x14ac:dyDescent="0.25">
      <c r="A20" s="84" t="s">
        <v>296</v>
      </c>
      <c r="B20" s="80">
        <v>205900</v>
      </c>
      <c r="C20" s="80">
        <v>146200</v>
      </c>
      <c r="D20" s="80">
        <v>352100</v>
      </c>
      <c r="E20" s="80">
        <v>88777.41</v>
      </c>
      <c r="F20" s="80">
        <v>88777.41</v>
      </c>
      <c r="G20" s="80">
        <f t="shared" ref="G20:G27" si="4">D20-E20</f>
        <v>263322.58999999997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623400</v>
      </c>
      <c r="C22" s="80">
        <v>215000</v>
      </c>
      <c r="D22" s="80">
        <v>838400</v>
      </c>
      <c r="E22" s="80">
        <v>276871.64</v>
      </c>
      <c r="F22" s="80">
        <v>276871.64</v>
      </c>
      <c r="G22" s="80">
        <f t="shared" si="4"/>
        <v>561528.36</v>
      </c>
    </row>
    <row r="23" spans="1:7" x14ac:dyDescent="0.25">
      <c r="A23" s="84" t="s">
        <v>299</v>
      </c>
      <c r="B23" s="80">
        <v>60000</v>
      </c>
      <c r="C23" s="80">
        <v>0</v>
      </c>
      <c r="D23" s="80">
        <v>60000</v>
      </c>
      <c r="E23" s="80">
        <v>5840.2</v>
      </c>
      <c r="F23" s="80">
        <v>5840.2</v>
      </c>
      <c r="G23" s="80">
        <f t="shared" si="4"/>
        <v>54159.8</v>
      </c>
    </row>
    <row r="24" spans="1:7" x14ac:dyDescent="0.25">
      <c r="A24" s="84" t="s">
        <v>300</v>
      </c>
      <c r="B24" s="80">
        <v>2173143.1799999997</v>
      </c>
      <c r="C24" s="80">
        <v>619200</v>
      </c>
      <c r="D24" s="80">
        <v>2792343.1799999997</v>
      </c>
      <c r="E24" s="80">
        <v>3387.2</v>
      </c>
      <c r="F24" s="80">
        <v>3387.2</v>
      </c>
      <c r="G24" s="80">
        <f t="shared" si="4"/>
        <v>2788955.9799999995</v>
      </c>
    </row>
    <row r="25" spans="1:7" x14ac:dyDescent="0.25">
      <c r="A25" s="84" t="s">
        <v>301</v>
      </c>
      <c r="B25" s="80">
        <v>166000</v>
      </c>
      <c r="C25" s="80">
        <v>195000</v>
      </c>
      <c r="D25" s="80">
        <v>361000</v>
      </c>
      <c r="E25" s="80">
        <v>33129.599999999999</v>
      </c>
      <c r="F25" s="80">
        <v>33129.599999999999</v>
      </c>
      <c r="G25" s="80">
        <f t="shared" si="4"/>
        <v>327870.40000000002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70200</v>
      </c>
      <c r="C27" s="80">
        <v>0</v>
      </c>
      <c r="D27" s="80">
        <v>70200</v>
      </c>
      <c r="E27" s="80">
        <v>20593</v>
      </c>
      <c r="F27" s="80">
        <v>20593</v>
      </c>
      <c r="G27" s="80">
        <f t="shared" si="4"/>
        <v>49607</v>
      </c>
    </row>
    <row r="28" spans="1:7" x14ac:dyDescent="0.25">
      <c r="A28" s="83" t="s">
        <v>304</v>
      </c>
      <c r="B28" s="80">
        <f t="shared" ref="B28:G28" si="5">SUM(B29:B37)</f>
        <v>8392720.9100000001</v>
      </c>
      <c r="C28" s="80">
        <f t="shared" si="5"/>
        <v>3225670.18</v>
      </c>
      <c r="D28" s="80">
        <f t="shared" si="5"/>
        <v>11618391.09</v>
      </c>
      <c r="E28" s="80">
        <f t="shared" si="5"/>
        <v>3393362.71</v>
      </c>
      <c r="F28" s="80">
        <f t="shared" si="5"/>
        <v>3393362.71</v>
      </c>
      <c r="G28" s="80">
        <f t="shared" si="5"/>
        <v>8225028.3799999999</v>
      </c>
    </row>
    <row r="29" spans="1:7" x14ac:dyDescent="0.25">
      <c r="A29" s="84" t="s">
        <v>305</v>
      </c>
      <c r="B29" s="80">
        <v>3116680.91</v>
      </c>
      <c r="C29" s="80">
        <v>502400</v>
      </c>
      <c r="D29" s="80">
        <v>3619080.91</v>
      </c>
      <c r="E29" s="80">
        <v>980085.96000000008</v>
      </c>
      <c r="F29" s="80">
        <v>980085.96000000008</v>
      </c>
      <c r="G29" s="80">
        <f>D29-E29</f>
        <v>2638994.9500000002</v>
      </c>
    </row>
    <row r="30" spans="1:7" x14ac:dyDescent="0.25">
      <c r="A30" s="84" t="s">
        <v>306</v>
      </c>
      <c r="B30" s="80">
        <v>82000</v>
      </c>
      <c r="C30" s="80">
        <v>3000</v>
      </c>
      <c r="D30" s="80">
        <v>85000</v>
      </c>
      <c r="E30" s="80">
        <v>645334.6</v>
      </c>
      <c r="F30" s="80">
        <v>645334.6</v>
      </c>
      <c r="G30" s="80">
        <f t="shared" ref="G30:G37" si="6">D30-E30</f>
        <v>-560334.6</v>
      </c>
    </row>
    <row r="31" spans="1:7" x14ac:dyDescent="0.25">
      <c r="A31" s="84" t="s">
        <v>307</v>
      </c>
      <c r="B31" s="80">
        <v>370720</v>
      </c>
      <c r="C31" s="80">
        <v>54800</v>
      </c>
      <c r="D31" s="80">
        <v>425520</v>
      </c>
      <c r="E31" s="80">
        <v>99025</v>
      </c>
      <c r="F31" s="80">
        <v>99025</v>
      </c>
      <c r="G31" s="80">
        <f t="shared" si="6"/>
        <v>326495</v>
      </c>
    </row>
    <row r="32" spans="1:7" x14ac:dyDescent="0.25">
      <c r="A32" s="84" t="s">
        <v>308</v>
      </c>
      <c r="B32" s="80">
        <v>10000</v>
      </c>
      <c r="C32" s="80">
        <v>0</v>
      </c>
      <c r="D32" s="80">
        <v>10000</v>
      </c>
      <c r="E32" s="80">
        <v>119311.79999999999</v>
      </c>
      <c r="F32" s="80">
        <v>119311.8</v>
      </c>
      <c r="G32" s="80">
        <f t="shared" si="6"/>
        <v>-109311.79999999999</v>
      </c>
    </row>
    <row r="33" spans="1:7" x14ac:dyDescent="0.25">
      <c r="A33" s="84" t="s">
        <v>309</v>
      </c>
      <c r="B33" s="80">
        <v>993800</v>
      </c>
      <c r="C33" s="80">
        <v>835000</v>
      </c>
      <c r="D33" s="80">
        <v>1828800</v>
      </c>
      <c r="E33" s="80">
        <v>1143161.2100000004</v>
      </c>
      <c r="F33" s="80">
        <v>1143161.2100000002</v>
      </c>
      <c r="G33" s="80">
        <f t="shared" si="6"/>
        <v>685638.78999999957</v>
      </c>
    </row>
    <row r="34" spans="1:7" x14ac:dyDescent="0.25">
      <c r="A34" s="84" t="s">
        <v>310</v>
      </c>
      <c r="B34" s="80">
        <v>200000</v>
      </c>
      <c r="C34" s="80">
        <v>0</v>
      </c>
      <c r="D34" s="80">
        <v>200000</v>
      </c>
      <c r="E34" s="80">
        <v>80979.600000000006</v>
      </c>
      <c r="F34" s="80">
        <v>80979.600000000006</v>
      </c>
      <c r="G34" s="80">
        <f t="shared" si="6"/>
        <v>119020.4</v>
      </c>
    </row>
    <row r="35" spans="1:7" x14ac:dyDescent="0.25">
      <c r="A35" s="84" t="s">
        <v>311</v>
      </c>
      <c r="B35" s="80">
        <v>371200</v>
      </c>
      <c r="C35" s="80">
        <v>114000</v>
      </c>
      <c r="D35" s="80">
        <v>485200</v>
      </c>
      <c r="E35" s="80">
        <v>193426.99</v>
      </c>
      <c r="F35" s="80">
        <v>193426.99</v>
      </c>
      <c r="G35" s="80">
        <f t="shared" si="6"/>
        <v>291773.01</v>
      </c>
    </row>
    <row r="36" spans="1:7" x14ac:dyDescent="0.25">
      <c r="A36" s="84" t="s">
        <v>312</v>
      </c>
      <c r="B36" s="80">
        <v>2985000</v>
      </c>
      <c r="C36" s="80">
        <v>1480000</v>
      </c>
      <c r="D36" s="80">
        <v>4465000</v>
      </c>
      <c r="E36" s="80">
        <v>132037.54999999999</v>
      </c>
      <c r="F36" s="80">
        <v>132037.54999999999</v>
      </c>
      <c r="G36" s="80">
        <f t="shared" si="6"/>
        <v>4332962.45</v>
      </c>
    </row>
    <row r="37" spans="1:7" x14ac:dyDescent="0.25">
      <c r="A37" s="84" t="s">
        <v>313</v>
      </c>
      <c r="B37" s="80">
        <v>263320</v>
      </c>
      <c r="C37" s="80">
        <v>236470.18</v>
      </c>
      <c r="D37" s="80">
        <v>499790.18</v>
      </c>
      <c r="E37" s="80">
        <v>0</v>
      </c>
      <c r="F37" s="80">
        <v>0</v>
      </c>
      <c r="G37" s="80">
        <f t="shared" si="6"/>
        <v>499790.18</v>
      </c>
    </row>
    <row r="38" spans="1:7" x14ac:dyDescent="0.25">
      <c r="A38" s="83" t="s">
        <v>314</v>
      </c>
      <c r="B38" s="80">
        <f t="shared" ref="B38:G38" si="7">SUM(B39:B47)</f>
        <v>5990000</v>
      </c>
      <c r="C38" s="80">
        <f t="shared" si="7"/>
        <v>2686788.1399999997</v>
      </c>
      <c r="D38" s="80">
        <f t="shared" si="7"/>
        <v>8676788.1400000006</v>
      </c>
      <c r="E38" s="80">
        <f t="shared" si="7"/>
        <v>1750812.26</v>
      </c>
      <c r="F38" s="80">
        <f t="shared" si="7"/>
        <v>1740812.26</v>
      </c>
      <c r="G38" s="80">
        <f t="shared" si="7"/>
        <v>6925975.8799999999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3600000</v>
      </c>
      <c r="C40" s="80">
        <v>0</v>
      </c>
      <c r="D40" s="80">
        <v>3600000</v>
      </c>
      <c r="E40" s="80">
        <v>1125000</v>
      </c>
      <c r="F40" s="80">
        <v>1125000</v>
      </c>
      <c r="G40" s="80">
        <f t="shared" ref="G40:G47" si="8">D40-E40</f>
        <v>2475000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2390000</v>
      </c>
      <c r="C42" s="80">
        <v>2686788.1399999997</v>
      </c>
      <c r="D42" s="80">
        <v>5076788.1399999997</v>
      </c>
      <c r="E42" s="80">
        <v>625812.26</v>
      </c>
      <c r="F42" s="80">
        <v>615812.26</v>
      </c>
      <c r="G42" s="80">
        <f t="shared" si="8"/>
        <v>4450975.88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 t="shared" ref="B48:G48" si="9">SUM(B49:B57)</f>
        <v>235300</v>
      </c>
      <c r="C48" s="80">
        <f t="shared" si="9"/>
        <v>791373.92</v>
      </c>
      <c r="D48" s="80">
        <f t="shared" si="9"/>
        <v>1026673.92</v>
      </c>
      <c r="E48" s="80">
        <f t="shared" si="9"/>
        <v>27324</v>
      </c>
      <c r="F48" s="80">
        <f t="shared" si="9"/>
        <v>27324</v>
      </c>
      <c r="G48" s="80">
        <f t="shared" si="9"/>
        <v>999349.92</v>
      </c>
    </row>
    <row r="49" spans="1:7" x14ac:dyDescent="0.25">
      <c r="A49" s="84" t="s">
        <v>325</v>
      </c>
      <c r="B49" s="80">
        <v>133000</v>
      </c>
      <c r="C49" s="80">
        <v>401373.92000000004</v>
      </c>
      <c r="D49" s="80">
        <v>534373.92000000004</v>
      </c>
      <c r="E49" s="80">
        <v>10800</v>
      </c>
      <c r="F49" s="80">
        <v>10800</v>
      </c>
      <c r="G49" s="80">
        <f>D49-E49</f>
        <v>523573.92000000004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10000</v>
      </c>
      <c r="D52" s="80">
        <v>10000</v>
      </c>
      <c r="E52" s="80">
        <v>0</v>
      </c>
      <c r="F52" s="80">
        <v>0</v>
      </c>
      <c r="G52" s="80">
        <f t="shared" si="10"/>
        <v>10000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62300</v>
      </c>
      <c r="C54" s="80">
        <v>170000</v>
      </c>
      <c r="D54" s="80">
        <v>232300</v>
      </c>
      <c r="E54" s="80">
        <v>16524</v>
      </c>
      <c r="F54" s="80">
        <v>16524</v>
      </c>
      <c r="G54" s="80">
        <f t="shared" si="10"/>
        <v>215776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40000</v>
      </c>
      <c r="C57" s="80">
        <v>210000</v>
      </c>
      <c r="D57" s="80">
        <v>250000</v>
      </c>
      <c r="E57" s="80">
        <v>0</v>
      </c>
      <c r="F57" s="80">
        <v>0</v>
      </c>
      <c r="G57" s="80">
        <f t="shared" si="10"/>
        <v>250000</v>
      </c>
    </row>
    <row r="58" spans="1:7" x14ac:dyDescent="0.25">
      <c r="A58" s="83" t="s">
        <v>334</v>
      </c>
      <c r="B58" s="80">
        <f t="shared" ref="B58:G58" si="11">SUM(B59:B61)</f>
        <v>10164706</v>
      </c>
      <c r="C58" s="80">
        <f t="shared" si="11"/>
        <v>3486578.99</v>
      </c>
      <c r="D58" s="80">
        <f t="shared" si="11"/>
        <v>13651284.99</v>
      </c>
      <c r="E58" s="80">
        <f t="shared" si="11"/>
        <v>1728937.4300000002</v>
      </c>
      <c r="F58" s="80">
        <f t="shared" si="11"/>
        <v>1728937.4300000002</v>
      </c>
      <c r="G58" s="80">
        <f t="shared" si="11"/>
        <v>11922347.560000001</v>
      </c>
    </row>
    <row r="59" spans="1:7" x14ac:dyDescent="0.25">
      <c r="A59" s="84" t="s">
        <v>335</v>
      </c>
      <c r="B59" s="80">
        <v>10134706</v>
      </c>
      <c r="C59" s="80">
        <v>3486578.99</v>
      </c>
      <c r="D59" s="80">
        <v>13621284.99</v>
      </c>
      <c r="E59" s="80">
        <v>1728937.4300000002</v>
      </c>
      <c r="F59" s="80">
        <v>1728937.4300000002</v>
      </c>
      <c r="G59" s="80">
        <f>D59-E59</f>
        <v>11892347.560000001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>D60-E60</f>
        <v>0</v>
      </c>
    </row>
    <row r="61" spans="1:7" x14ac:dyDescent="0.25">
      <c r="A61" s="84" t="s">
        <v>337</v>
      </c>
      <c r="B61" s="80">
        <v>30000</v>
      </c>
      <c r="C61" s="80">
        <v>0</v>
      </c>
      <c r="D61" s="80">
        <v>30000</v>
      </c>
      <c r="E61" s="80">
        <v>0</v>
      </c>
      <c r="F61" s="80">
        <v>0</v>
      </c>
      <c r="G61" s="80">
        <f>D61-E61</f>
        <v>30000</v>
      </c>
    </row>
    <row r="62" spans="1:7" x14ac:dyDescent="0.25">
      <c r="A62" s="83" t="s">
        <v>338</v>
      </c>
      <c r="B62" s="80">
        <f t="shared" ref="B62:G62" si="12">SUM(B63:B67,B69:B70)</f>
        <v>218620.51</v>
      </c>
      <c r="C62" s="80">
        <f t="shared" si="12"/>
        <v>-218620.51</v>
      </c>
      <c r="D62" s="80">
        <f t="shared" si="12"/>
        <v>0</v>
      </c>
      <c r="E62" s="80">
        <f t="shared" si="12"/>
        <v>0</v>
      </c>
      <c r="F62" s="80">
        <f t="shared" si="12"/>
        <v>0</v>
      </c>
      <c r="G62" s="80">
        <f t="shared" si="12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3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3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3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3"/>
        <v>0</v>
      </c>
    </row>
    <row r="68" spans="1:7" x14ac:dyDescent="0.25">
      <c r="A68" s="84" t="s">
        <v>3293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3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3"/>
        <v>0</v>
      </c>
    </row>
    <row r="70" spans="1:7" x14ac:dyDescent="0.25">
      <c r="A70" s="84" t="s">
        <v>346</v>
      </c>
      <c r="B70" s="80">
        <v>218620.51</v>
      </c>
      <c r="C70" s="80">
        <v>-218620.51</v>
      </c>
      <c r="D70" s="80">
        <v>0</v>
      </c>
      <c r="E70" s="80">
        <v>0</v>
      </c>
      <c r="F70" s="80">
        <v>0</v>
      </c>
      <c r="G70" s="80">
        <f t="shared" si="13"/>
        <v>0</v>
      </c>
    </row>
    <row r="71" spans="1:7" x14ac:dyDescent="0.25">
      <c r="A71" s="83" t="s">
        <v>347</v>
      </c>
      <c r="B71" s="80">
        <f t="shared" ref="B71:G71" si="14">SUM(B72:B74)</f>
        <v>80000</v>
      </c>
      <c r="C71" s="80">
        <f t="shared" si="14"/>
        <v>50200</v>
      </c>
      <c r="D71" s="80">
        <f t="shared" si="14"/>
        <v>130200</v>
      </c>
      <c r="E71" s="80">
        <f t="shared" si="14"/>
        <v>0</v>
      </c>
      <c r="F71" s="80">
        <f t="shared" si="14"/>
        <v>0</v>
      </c>
      <c r="G71" s="80">
        <f t="shared" si="14"/>
        <v>130200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>D73-E73</f>
        <v>0</v>
      </c>
    </row>
    <row r="74" spans="1:7" x14ac:dyDescent="0.25">
      <c r="A74" s="84" t="s">
        <v>350</v>
      </c>
      <c r="B74" s="80">
        <v>80000</v>
      </c>
      <c r="C74" s="80">
        <v>50200</v>
      </c>
      <c r="D74" s="80">
        <v>130200</v>
      </c>
      <c r="E74" s="80">
        <v>0</v>
      </c>
      <c r="F74" s="80">
        <v>0</v>
      </c>
      <c r="G74" s="80">
        <f>D74-E74</f>
        <v>130200</v>
      </c>
    </row>
    <row r="75" spans="1:7" x14ac:dyDescent="0.25">
      <c r="A75" s="83" t="s">
        <v>351</v>
      </c>
      <c r="B75" s="80">
        <f t="shared" ref="B75:G75" si="15">SUM(B76:B82)</f>
        <v>0</v>
      </c>
      <c r="C75" s="80">
        <f t="shared" si="15"/>
        <v>0</v>
      </c>
      <c r="D75" s="80">
        <f t="shared" si="15"/>
        <v>0</v>
      </c>
      <c r="E75" s="80">
        <f t="shared" si="15"/>
        <v>0</v>
      </c>
      <c r="F75" s="80">
        <f t="shared" si="15"/>
        <v>0</v>
      </c>
      <c r="G75" s="80">
        <f t="shared" si="15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6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6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6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6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6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6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 t="shared" ref="B84:G84" si="17">SUM(B85,B93,B103,B113,B123,B133,B137,B146,B150)</f>
        <v>0</v>
      </c>
      <c r="C84" s="79">
        <f t="shared" si="17"/>
        <v>0</v>
      </c>
      <c r="D84" s="79">
        <f t="shared" si="17"/>
        <v>0</v>
      </c>
      <c r="E84" s="79">
        <f t="shared" si="17"/>
        <v>0</v>
      </c>
      <c r="F84" s="79">
        <f t="shared" si="17"/>
        <v>0</v>
      </c>
      <c r="G84" s="79">
        <f t="shared" si="17"/>
        <v>0</v>
      </c>
    </row>
    <row r="85" spans="1:7" x14ac:dyDescent="0.25">
      <c r="A85" s="83" t="s">
        <v>286</v>
      </c>
      <c r="B85" s="80">
        <f t="shared" ref="B85:G85" si="18">SUM(B86:B92)</f>
        <v>0</v>
      </c>
      <c r="C85" s="80">
        <f t="shared" si="18"/>
        <v>0</v>
      </c>
      <c r="D85" s="80">
        <f t="shared" si="18"/>
        <v>0</v>
      </c>
      <c r="E85" s="80">
        <f t="shared" si="18"/>
        <v>0</v>
      </c>
      <c r="F85" s="80">
        <f t="shared" si="18"/>
        <v>0</v>
      </c>
      <c r="G85" s="80">
        <f t="shared" si="18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19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19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19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19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19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19"/>
        <v>0</v>
      </c>
    </row>
    <row r="93" spans="1:7" x14ac:dyDescent="0.25">
      <c r="A93" s="83" t="s">
        <v>294</v>
      </c>
      <c r="B93" s="80">
        <f t="shared" ref="B93:G93" si="20">SUM(B94:B102)</f>
        <v>0</v>
      </c>
      <c r="C93" s="80">
        <f t="shared" si="20"/>
        <v>0</v>
      </c>
      <c r="D93" s="80">
        <f t="shared" si="20"/>
        <v>0</v>
      </c>
      <c r="E93" s="80">
        <f t="shared" si="20"/>
        <v>0</v>
      </c>
      <c r="F93" s="80">
        <f t="shared" si="20"/>
        <v>0</v>
      </c>
      <c r="G93" s="80">
        <f t="shared" si="20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1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1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21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21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21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1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1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21"/>
        <v>0</v>
      </c>
    </row>
    <row r="103" spans="1:7" x14ac:dyDescent="0.25">
      <c r="A103" s="83" t="s">
        <v>304</v>
      </c>
      <c r="B103" s="80">
        <f t="shared" ref="B103:G103" si="22">SUM(B104:B112)</f>
        <v>0</v>
      </c>
      <c r="C103" s="80">
        <f t="shared" si="22"/>
        <v>0</v>
      </c>
      <c r="D103" s="80">
        <f t="shared" si="22"/>
        <v>0</v>
      </c>
      <c r="E103" s="80">
        <f t="shared" si="22"/>
        <v>0</v>
      </c>
      <c r="F103" s="80">
        <f t="shared" si="22"/>
        <v>0</v>
      </c>
      <c r="G103" s="80">
        <f t="shared" si="22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3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23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3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23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3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3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3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3"/>
        <v>0</v>
      </c>
    </row>
    <row r="113" spans="1:7" x14ac:dyDescent="0.25">
      <c r="A113" s="83" t="s">
        <v>314</v>
      </c>
      <c r="B113" s="80">
        <f t="shared" ref="B113:G113" si="24">SUM(B114:B122)</f>
        <v>0</v>
      </c>
      <c r="C113" s="80">
        <f t="shared" si="24"/>
        <v>0</v>
      </c>
      <c r="D113" s="80">
        <f t="shared" si="24"/>
        <v>0</v>
      </c>
      <c r="E113" s="80">
        <f t="shared" si="24"/>
        <v>0</v>
      </c>
      <c r="F113" s="80">
        <f t="shared" si="24"/>
        <v>0</v>
      </c>
      <c r="G113" s="80">
        <f t="shared" si="24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5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5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5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5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5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5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5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5"/>
        <v>0</v>
      </c>
    </row>
    <row r="123" spans="1:7" x14ac:dyDescent="0.25">
      <c r="A123" s="83" t="s">
        <v>324</v>
      </c>
      <c r="B123" s="80">
        <f t="shared" ref="B123:G123" si="26">SUM(B124:B132)</f>
        <v>0</v>
      </c>
      <c r="C123" s="80">
        <f t="shared" si="26"/>
        <v>0</v>
      </c>
      <c r="D123" s="80">
        <f t="shared" si="26"/>
        <v>0</v>
      </c>
      <c r="E123" s="80">
        <f t="shared" si="26"/>
        <v>0</v>
      </c>
      <c r="F123" s="80">
        <f t="shared" si="26"/>
        <v>0</v>
      </c>
      <c r="G123" s="80">
        <f t="shared" si="26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7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7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7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7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7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7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7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7"/>
        <v>0</v>
      </c>
    </row>
    <row r="133" spans="1:7" x14ac:dyDescent="0.25">
      <c r="A133" s="83" t="s">
        <v>334</v>
      </c>
      <c r="B133" s="80">
        <f t="shared" ref="B133:G133" si="28">SUM(B134:B136)</f>
        <v>0</v>
      </c>
      <c r="C133" s="80">
        <f t="shared" si="28"/>
        <v>0</v>
      </c>
      <c r="D133" s="80">
        <f t="shared" si="28"/>
        <v>0</v>
      </c>
      <c r="E133" s="80">
        <f t="shared" si="28"/>
        <v>0</v>
      </c>
      <c r="F133" s="80">
        <f t="shared" si="28"/>
        <v>0</v>
      </c>
      <c r="G133" s="80">
        <f t="shared" si="28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>D136-E136</f>
        <v>0</v>
      </c>
    </row>
    <row r="137" spans="1:7" x14ac:dyDescent="0.25">
      <c r="A137" s="83" t="s">
        <v>338</v>
      </c>
      <c r="B137" s="80">
        <f t="shared" ref="B137:G137" si="29">SUM(B138:B142,B144:B145)</f>
        <v>0</v>
      </c>
      <c r="C137" s="80">
        <f t="shared" si="29"/>
        <v>0</v>
      </c>
      <c r="D137" s="80">
        <f t="shared" si="29"/>
        <v>0</v>
      </c>
      <c r="E137" s="80">
        <f t="shared" si="29"/>
        <v>0</v>
      </c>
      <c r="F137" s="80">
        <f t="shared" si="29"/>
        <v>0</v>
      </c>
      <c r="G137" s="80">
        <f t="shared" si="29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0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0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0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0"/>
        <v>0</v>
      </c>
    </row>
    <row r="143" spans="1:7" x14ac:dyDescent="0.25">
      <c r="A143" s="84" t="s">
        <v>3293</v>
      </c>
      <c r="B143" s="80">
        <v>0</v>
      </c>
      <c r="C143" s="80">
        <v>1</v>
      </c>
      <c r="D143" s="80">
        <v>3</v>
      </c>
      <c r="E143" s="80">
        <v>1</v>
      </c>
      <c r="F143" s="80">
        <v>1</v>
      </c>
      <c r="G143" s="80">
        <f t="shared" si="30"/>
        <v>2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0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0"/>
        <v>0</v>
      </c>
    </row>
    <row r="146" spans="1:7" x14ac:dyDescent="0.25">
      <c r="A146" s="83" t="s">
        <v>347</v>
      </c>
      <c r="B146" s="80">
        <f t="shared" ref="B146:G146" si="31">SUM(B147:B149)</f>
        <v>0</v>
      </c>
      <c r="C146" s="80">
        <f t="shared" si="31"/>
        <v>0</v>
      </c>
      <c r="D146" s="80">
        <f t="shared" si="31"/>
        <v>0</v>
      </c>
      <c r="E146" s="80">
        <f t="shared" si="31"/>
        <v>0</v>
      </c>
      <c r="F146" s="80">
        <f t="shared" si="31"/>
        <v>0</v>
      </c>
      <c r="G146" s="80">
        <f t="shared" si="31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>D149-E149</f>
        <v>0</v>
      </c>
    </row>
    <row r="150" spans="1:7" x14ac:dyDescent="0.25">
      <c r="A150" s="83" t="s">
        <v>351</v>
      </c>
      <c r="B150" s="80">
        <f t="shared" ref="B150:G150" si="32">SUM(B151:B157)</f>
        <v>0</v>
      </c>
      <c r="C150" s="80">
        <f t="shared" si="32"/>
        <v>0</v>
      </c>
      <c r="D150" s="80">
        <f t="shared" si="32"/>
        <v>0</v>
      </c>
      <c r="E150" s="80">
        <f t="shared" si="32"/>
        <v>0</v>
      </c>
      <c r="F150" s="80">
        <f t="shared" si="32"/>
        <v>0</v>
      </c>
      <c r="G150" s="80">
        <f t="shared" si="32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3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3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3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3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3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3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 t="shared" ref="B159:G159" si="34">B9+B84</f>
        <v>64670785.169999994</v>
      </c>
      <c r="C159" s="79">
        <f t="shared" si="34"/>
        <v>14688088.970000001</v>
      </c>
      <c r="D159" s="79">
        <f t="shared" si="34"/>
        <v>79358874.140000001</v>
      </c>
      <c r="E159" s="79">
        <f t="shared" si="34"/>
        <v>13615895.959999999</v>
      </c>
      <c r="F159" s="79">
        <f t="shared" si="34"/>
        <v>13605895.959999999</v>
      </c>
      <c r="G159" s="79">
        <f t="shared" si="34"/>
        <v>65742978.180000007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64670785.169999994</v>
      </c>
      <c r="Q2" s="18">
        <f>'Formato 6 a)'!C9</f>
        <v>14688088.970000001</v>
      </c>
      <c r="R2" s="18">
        <f>'Formato 6 a)'!D9</f>
        <v>79358874.140000001</v>
      </c>
      <c r="S2" s="18">
        <f>'Formato 6 a)'!E9</f>
        <v>13615895.959999999</v>
      </c>
      <c r="T2" s="18">
        <f>'Formato 6 a)'!F9</f>
        <v>13605895.959999999</v>
      </c>
      <c r="U2" s="18">
        <f>'Formato 6 a)'!G9</f>
        <v>65742978.180000007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35760714.57</v>
      </c>
      <c r="Q3" s="18">
        <f>'Formato 6 a)'!C10</f>
        <v>3086198.25</v>
      </c>
      <c r="R3" s="18">
        <f>'Formato 6 a)'!D10</f>
        <v>38846912.82</v>
      </c>
      <c r="S3" s="18">
        <f>'Formato 6 a)'!E10</f>
        <v>5829766.6400000006</v>
      </c>
      <c r="T3" s="18">
        <f>'Formato 6 a)'!F10</f>
        <v>5829766.6400000006</v>
      </c>
      <c r="U3" s="18">
        <f>'Formato 6 a)'!G10</f>
        <v>33017146.179999996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22661143.32</v>
      </c>
      <c r="Q4" s="18">
        <f>'Formato 6 a)'!C11</f>
        <v>2032169.3299999996</v>
      </c>
      <c r="R4" s="18">
        <f>'Formato 6 a)'!D11</f>
        <v>24693312.649999999</v>
      </c>
      <c r="S4" s="18">
        <f>'Formato 6 a)'!E11</f>
        <v>4629776.66</v>
      </c>
      <c r="T4" s="18">
        <f>'Formato 6 a)'!F11</f>
        <v>4629776.66</v>
      </c>
      <c r="U4" s="18">
        <f>'Formato 6 a)'!G11</f>
        <v>20063535.989999998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2928654.65</v>
      </c>
      <c r="Q5" s="18">
        <f>'Formato 6 a)'!C12</f>
        <v>571345.35</v>
      </c>
      <c r="R5" s="18">
        <f>'Formato 6 a)'!D12</f>
        <v>3500000</v>
      </c>
      <c r="S5" s="18">
        <f>'Formato 6 a)'!E12</f>
        <v>471970.36</v>
      </c>
      <c r="T5" s="18">
        <f>'Formato 6 a)'!F12</f>
        <v>471970.36</v>
      </c>
      <c r="U5" s="18">
        <f>'Formato 6 a)'!G12</f>
        <v>3028029.64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4285417.2000000011</v>
      </c>
      <c r="Q6" s="18">
        <f>'Formato 6 a)'!C13</f>
        <v>349745.68</v>
      </c>
      <c r="R6" s="18">
        <f>'Formato 6 a)'!D13</f>
        <v>4635162.8800000008</v>
      </c>
      <c r="S6" s="18">
        <f>'Formato 6 a)'!E13</f>
        <v>60900</v>
      </c>
      <c r="T6" s="18">
        <f>'Formato 6 a)'!F13</f>
        <v>60900</v>
      </c>
      <c r="U6" s="18">
        <f>'Formato 6 a)'!G13</f>
        <v>4574262.8800000008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5885499.3999999994</v>
      </c>
      <c r="Q8" s="18">
        <f>'Formato 6 a)'!C15</f>
        <v>132937.88999999993</v>
      </c>
      <c r="R8" s="18">
        <f>'Formato 6 a)'!D15</f>
        <v>6018437.2899999991</v>
      </c>
      <c r="S8" s="18">
        <f>'Formato 6 a)'!E15</f>
        <v>667119.62</v>
      </c>
      <c r="T8" s="18">
        <f>'Formato 6 a)'!F15</f>
        <v>667119.62</v>
      </c>
      <c r="U8" s="18">
        <f>'Formato 6 a)'!G15</f>
        <v>5351317.669999999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3828723.1799999997</v>
      </c>
      <c r="Q11" s="18">
        <f>'Formato 6 a)'!C18</f>
        <v>1579900</v>
      </c>
      <c r="R11" s="18">
        <f>'Formato 6 a)'!D18</f>
        <v>5408623.1799999997</v>
      </c>
      <c r="S11" s="18">
        <f>'Formato 6 a)'!E18</f>
        <v>885692.92</v>
      </c>
      <c r="T11" s="18">
        <f>'Formato 6 a)'!F18</f>
        <v>885692.92</v>
      </c>
      <c r="U11" s="18">
        <f>'Formato 6 a)'!G18</f>
        <v>4522930.26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530080</v>
      </c>
      <c r="Q12" s="18">
        <f>'Formato 6 a)'!C19</f>
        <v>404500</v>
      </c>
      <c r="R12" s="18">
        <f>'Formato 6 a)'!D19</f>
        <v>934580</v>
      </c>
      <c r="S12" s="18">
        <f>'Formato 6 a)'!E19</f>
        <v>457093.87000000011</v>
      </c>
      <c r="T12" s="18">
        <f>'Formato 6 a)'!F19</f>
        <v>457093.87000000011</v>
      </c>
      <c r="U12" s="18">
        <f>'Formato 6 a)'!G19</f>
        <v>477486.12999999989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205900</v>
      </c>
      <c r="Q13" s="18">
        <f>'Formato 6 a)'!C20</f>
        <v>146200</v>
      </c>
      <c r="R13" s="18">
        <f>'Formato 6 a)'!D20</f>
        <v>352100</v>
      </c>
      <c r="S13" s="18">
        <f>'Formato 6 a)'!E20</f>
        <v>88777.41</v>
      </c>
      <c r="T13" s="18">
        <f>'Formato 6 a)'!F20</f>
        <v>88777.41</v>
      </c>
      <c r="U13" s="18">
        <f>'Formato 6 a)'!G20</f>
        <v>263322.58999999997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623400</v>
      </c>
      <c r="Q15" s="18">
        <f>'Formato 6 a)'!C22</f>
        <v>215000</v>
      </c>
      <c r="R15" s="18">
        <f>'Formato 6 a)'!D22</f>
        <v>838400</v>
      </c>
      <c r="S15" s="18">
        <f>'Formato 6 a)'!E22</f>
        <v>276871.64</v>
      </c>
      <c r="T15" s="18">
        <f>'Formato 6 a)'!F22</f>
        <v>276871.64</v>
      </c>
      <c r="U15" s="18">
        <f>'Formato 6 a)'!G22</f>
        <v>561528.36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60000</v>
      </c>
      <c r="Q16" s="18">
        <f>'Formato 6 a)'!C23</f>
        <v>0</v>
      </c>
      <c r="R16" s="18">
        <f>'Formato 6 a)'!D23</f>
        <v>60000</v>
      </c>
      <c r="S16" s="18">
        <f>'Formato 6 a)'!E23</f>
        <v>5840.2</v>
      </c>
      <c r="T16" s="18">
        <f>'Formato 6 a)'!F23</f>
        <v>5840.2</v>
      </c>
      <c r="U16" s="18">
        <f>'Formato 6 a)'!G23</f>
        <v>54159.8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2173143.1799999997</v>
      </c>
      <c r="Q17" s="18">
        <f>'Formato 6 a)'!C24</f>
        <v>619200</v>
      </c>
      <c r="R17" s="18">
        <f>'Formato 6 a)'!D24</f>
        <v>2792343.1799999997</v>
      </c>
      <c r="S17" s="18">
        <f>'Formato 6 a)'!E24</f>
        <v>3387.2</v>
      </c>
      <c r="T17" s="18">
        <f>'Formato 6 a)'!F24</f>
        <v>3387.2</v>
      </c>
      <c r="U17" s="18">
        <f>'Formato 6 a)'!G24</f>
        <v>2788955.9799999995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166000</v>
      </c>
      <c r="Q18" s="18">
        <f>'Formato 6 a)'!C25</f>
        <v>195000</v>
      </c>
      <c r="R18" s="18">
        <f>'Formato 6 a)'!D25</f>
        <v>361000</v>
      </c>
      <c r="S18" s="18">
        <f>'Formato 6 a)'!E25</f>
        <v>33129.599999999999</v>
      </c>
      <c r="T18" s="18">
        <f>'Formato 6 a)'!F25</f>
        <v>33129.599999999999</v>
      </c>
      <c r="U18" s="18">
        <f>'Formato 6 a)'!G25</f>
        <v>327870.40000000002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70200</v>
      </c>
      <c r="Q20" s="18">
        <f>'Formato 6 a)'!C27</f>
        <v>0</v>
      </c>
      <c r="R20" s="18">
        <f>'Formato 6 a)'!D27</f>
        <v>70200</v>
      </c>
      <c r="S20" s="18">
        <f>'Formato 6 a)'!E27</f>
        <v>20593</v>
      </c>
      <c r="T20" s="18">
        <f>'Formato 6 a)'!F27</f>
        <v>20593</v>
      </c>
      <c r="U20" s="18">
        <f>'Formato 6 a)'!G27</f>
        <v>49607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8392720.9100000001</v>
      </c>
      <c r="Q21" s="18">
        <f>'Formato 6 a)'!C28</f>
        <v>3225670.18</v>
      </c>
      <c r="R21" s="18">
        <f>'Formato 6 a)'!D28</f>
        <v>11618391.09</v>
      </c>
      <c r="S21" s="18">
        <f>'Formato 6 a)'!E28</f>
        <v>3393362.71</v>
      </c>
      <c r="T21" s="18">
        <f>'Formato 6 a)'!F28</f>
        <v>3393362.71</v>
      </c>
      <c r="U21" s="18">
        <f>'Formato 6 a)'!G28</f>
        <v>8225028.3799999999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3116680.91</v>
      </c>
      <c r="Q22" s="18">
        <f>'Formato 6 a)'!C29</f>
        <v>502400</v>
      </c>
      <c r="R22" s="18">
        <f>'Formato 6 a)'!D29</f>
        <v>3619080.91</v>
      </c>
      <c r="S22" s="18">
        <f>'Formato 6 a)'!E29</f>
        <v>980085.96000000008</v>
      </c>
      <c r="T22" s="18">
        <f>'Formato 6 a)'!F29</f>
        <v>980085.96000000008</v>
      </c>
      <c r="U22" s="18">
        <f>'Formato 6 a)'!G29</f>
        <v>2638994.9500000002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82000</v>
      </c>
      <c r="Q23" s="18">
        <f>'Formato 6 a)'!C30</f>
        <v>3000</v>
      </c>
      <c r="R23" s="18">
        <f>'Formato 6 a)'!D30</f>
        <v>85000</v>
      </c>
      <c r="S23" s="18">
        <f>'Formato 6 a)'!E30</f>
        <v>645334.6</v>
      </c>
      <c r="T23" s="18">
        <f>'Formato 6 a)'!F30</f>
        <v>645334.6</v>
      </c>
      <c r="U23" s="18">
        <f>'Formato 6 a)'!G30</f>
        <v>-560334.6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370720</v>
      </c>
      <c r="Q24" s="18">
        <f>'Formato 6 a)'!C31</f>
        <v>54800</v>
      </c>
      <c r="R24" s="18">
        <f>'Formato 6 a)'!D31</f>
        <v>425520</v>
      </c>
      <c r="S24" s="18">
        <f>'Formato 6 a)'!E31</f>
        <v>99025</v>
      </c>
      <c r="T24" s="18">
        <f>'Formato 6 a)'!F31</f>
        <v>99025</v>
      </c>
      <c r="U24" s="18">
        <f>'Formato 6 a)'!G31</f>
        <v>326495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10000</v>
      </c>
      <c r="Q25" s="18">
        <f>'Formato 6 a)'!C32</f>
        <v>0</v>
      </c>
      <c r="R25" s="18">
        <f>'Formato 6 a)'!D32</f>
        <v>10000</v>
      </c>
      <c r="S25" s="18">
        <f>'Formato 6 a)'!E32</f>
        <v>119311.79999999999</v>
      </c>
      <c r="T25" s="18">
        <f>'Formato 6 a)'!F32</f>
        <v>119311.8</v>
      </c>
      <c r="U25" s="18">
        <f>'Formato 6 a)'!G32</f>
        <v>-109311.79999999999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993800</v>
      </c>
      <c r="Q26" s="18">
        <f>'Formato 6 a)'!C33</f>
        <v>835000</v>
      </c>
      <c r="R26" s="18">
        <f>'Formato 6 a)'!D33</f>
        <v>1828800</v>
      </c>
      <c r="S26" s="18">
        <f>'Formato 6 a)'!E33</f>
        <v>1143161.2100000004</v>
      </c>
      <c r="T26" s="18">
        <f>'Formato 6 a)'!F33</f>
        <v>1143161.2100000002</v>
      </c>
      <c r="U26" s="18">
        <f>'Formato 6 a)'!G33</f>
        <v>685638.78999999957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200000</v>
      </c>
      <c r="Q27" s="18">
        <f>'Formato 6 a)'!C34</f>
        <v>0</v>
      </c>
      <c r="R27" s="18">
        <f>'Formato 6 a)'!D34</f>
        <v>200000</v>
      </c>
      <c r="S27" s="18">
        <f>'Formato 6 a)'!E34</f>
        <v>80979.600000000006</v>
      </c>
      <c r="T27" s="18">
        <f>'Formato 6 a)'!F34</f>
        <v>80979.600000000006</v>
      </c>
      <c r="U27" s="18">
        <f>'Formato 6 a)'!G34</f>
        <v>119020.4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371200</v>
      </c>
      <c r="Q28" s="18">
        <f>'Formato 6 a)'!C35</f>
        <v>114000</v>
      </c>
      <c r="R28" s="18">
        <f>'Formato 6 a)'!D35</f>
        <v>485200</v>
      </c>
      <c r="S28" s="18">
        <f>'Formato 6 a)'!E35</f>
        <v>193426.99</v>
      </c>
      <c r="T28" s="18">
        <f>'Formato 6 a)'!F35</f>
        <v>193426.99</v>
      </c>
      <c r="U28" s="18">
        <f>'Formato 6 a)'!G35</f>
        <v>291773.01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2985000</v>
      </c>
      <c r="Q29" s="18">
        <f>'Formato 6 a)'!C36</f>
        <v>1480000</v>
      </c>
      <c r="R29" s="18">
        <f>'Formato 6 a)'!D36</f>
        <v>4465000</v>
      </c>
      <c r="S29" s="18">
        <f>'Formato 6 a)'!E36</f>
        <v>132037.54999999999</v>
      </c>
      <c r="T29" s="18">
        <f>'Formato 6 a)'!F36</f>
        <v>132037.54999999999</v>
      </c>
      <c r="U29" s="18">
        <f>'Formato 6 a)'!G36</f>
        <v>4332962.45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263320</v>
      </c>
      <c r="Q30" s="18">
        <f>'Formato 6 a)'!C37</f>
        <v>236470.18</v>
      </c>
      <c r="R30" s="18">
        <f>'Formato 6 a)'!D37</f>
        <v>499790.18</v>
      </c>
      <c r="S30" s="18">
        <f>'Formato 6 a)'!E37</f>
        <v>0</v>
      </c>
      <c r="T30" s="18">
        <f>'Formato 6 a)'!F37</f>
        <v>0</v>
      </c>
      <c r="U30" s="18">
        <f>'Formato 6 a)'!G37</f>
        <v>499790.18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5990000</v>
      </c>
      <c r="Q31" s="18">
        <f>'Formato 6 a)'!C38</f>
        <v>2686788.1399999997</v>
      </c>
      <c r="R31" s="18">
        <f>'Formato 6 a)'!D38</f>
        <v>8676788.1400000006</v>
      </c>
      <c r="S31" s="18">
        <f>'Formato 6 a)'!E38</f>
        <v>1750812.26</v>
      </c>
      <c r="T31" s="18">
        <f>'Formato 6 a)'!F38</f>
        <v>1740812.26</v>
      </c>
      <c r="U31" s="18">
        <f>'Formato 6 a)'!G38</f>
        <v>6925975.8799999999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3600000</v>
      </c>
      <c r="Q33" s="18">
        <f>'Formato 6 a)'!C40</f>
        <v>0</v>
      </c>
      <c r="R33" s="18">
        <f>'Formato 6 a)'!D40</f>
        <v>3600000</v>
      </c>
      <c r="S33" s="18">
        <f>'Formato 6 a)'!E40</f>
        <v>1125000</v>
      </c>
      <c r="T33" s="18">
        <f>'Formato 6 a)'!F40</f>
        <v>1125000</v>
      </c>
      <c r="U33" s="18">
        <f>'Formato 6 a)'!G40</f>
        <v>2475000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2390000</v>
      </c>
      <c r="Q35" s="18">
        <f>'Formato 6 a)'!C42</f>
        <v>2686788.1399999997</v>
      </c>
      <c r="R35" s="18">
        <f>'Formato 6 a)'!D42</f>
        <v>5076788.1399999997</v>
      </c>
      <c r="S35" s="18">
        <f>'Formato 6 a)'!E42</f>
        <v>625812.26</v>
      </c>
      <c r="T35" s="18">
        <f>'Formato 6 a)'!F42</f>
        <v>615812.26</v>
      </c>
      <c r="U35" s="18">
        <f>'Formato 6 a)'!G42</f>
        <v>4450975.88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235300</v>
      </c>
      <c r="Q41" s="18">
        <f>'Formato 6 a)'!C48</f>
        <v>791373.92</v>
      </c>
      <c r="R41" s="18">
        <f>'Formato 6 a)'!D48</f>
        <v>1026673.92</v>
      </c>
      <c r="S41" s="18">
        <f>'Formato 6 a)'!E48</f>
        <v>27324</v>
      </c>
      <c r="T41" s="18">
        <f>'Formato 6 a)'!F48</f>
        <v>27324</v>
      </c>
      <c r="U41" s="18">
        <f>'Formato 6 a)'!G48</f>
        <v>999349.92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133000</v>
      </c>
      <c r="Q42" s="18">
        <f>'Formato 6 a)'!C49</f>
        <v>401373.92000000004</v>
      </c>
      <c r="R42" s="18">
        <f>'Formato 6 a)'!D49</f>
        <v>534373.92000000004</v>
      </c>
      <c r="S42" s="18">
        <f>'Formato 6 a)'!E49</f>
        <v>10800</v>
      </c>
      <c r="T42" s="18">
        <f>'Formato 6 a)'!F49</f>
        <v>10800</v>
      </c>
      <c r="U42" s="18">
        <f>'Formato 6 a)'!G49</f>
        <v>523573.92000000004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0</v>
      </c>
      <c r="Q45" s="18">
        <f>'Formato 6 a)'!C52</f>
        <v>10000</v>
      </c>
      <c r="R45" s="18">
        <f>'Formato 6 a)'!D52</f>
        <v>10000</v>
      </c>
      <c r="S45" s="18">
        <f>'Formato 6 a)'!E52</f>
        <v>0</v>
      </c>
      <c r="T45" s="18">
        <f>'Formato 6 a)'!F52</f>
        <v>0</v>
      </c>
      <c r="U45" s="18">
        <f>'Formato 6 a)'!G52</f>
        <v>10000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62300</v>
      </c>
      <c r="Q47" s="18">
        <f>'Formato 6 a)'!C54</f>
        <v>170000</v>
      </c>
      <c r="R47" s="18">
        <f>'Formato 6 a)'!D54</f>
        <v>232300</v>
      </c>
      <c r="S47" s="18">
        <f>'Formato 6 a)'!E54</f>
        <v>16524</v>
      </c>
      <c r="T47" s="18">
        <f>'Formato 6 a)'!F54</f>
        <v>16524</v>
      </c>
      <c r="U47" s="18">
        <f>'Formato 6 a)'!G54</f>
        <v>215776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40000</v>
      </c>
      <c r="Q50" s="18">
        <f>'Formato 6 a)'!C57</f>
        <v>210000</v>
      </c>
      <c r="R50" s="18">
        <f>'Formato 6 a)'!D57</f>
        <v>250000</v>
      </c>
      <c r="S50" s="18">
        <f>'Formato 6 a)'!E57</f>
        <v>0</v>
      </c>
      <c r="T50" s="18">
        <f>'Formato 6 a)'!F57</f>
        <v>0</v>
      </c>
      <c r="U50" s="18">
        <f>'Formato 6 a)'!G57</f>
        <v>250000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10164706</v>
      </c>
      <c r="Q51" s="18">
        <f>'Formato 6 a)'!C58</f>
        <v>3486578.99</v>
      </c>
      <c r="R51" s="18">
        <f>'Formato 6 a)'!D58</f>
        <v>13651284.99</v>
      </c>
      <c r="S51" s="18">
        <f>'Formato 6 a)'!E58</f>
        <v>1728937.4300000002</v>
      </c>
      <c r="T51" s="18">
        <f>'Formato 6 a)'!F58</f>
        <v>1728937.4300000002</v>
      </c>
      <c r="U51" s="18">
        <f>'Formato 6 a)'!G58</f>
        <v>11922347.560000001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10134706</v>
      </c>
      <c r="Q52" s="18">
        <f>'Formato 6 a)'!C59</f>
        <v>3486578.99</v>
      </c>
      <c r="R52" s="18">
        <f>'Formato 6 a)'!D59</f>
        <v>13621284.99</v>
      </c>
      <c r="S52" s="18">
        <f>'Formato 6 a)'!E59</f>
        <v>1728937.4300000002</v>
      </c>
      <c r="T52" s="18">
        <f>'Formato 6 a)'!F59</f>
        <v>1728937.4300000002</v>
      </c>
      <c r="U52" s="18">
        <f>'Formato 6 a)'!G59</f>
        <v>11892347.560000001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30000</v>
      </c>
      <c r="Q54" s="18">
        <f>'Formato 6 a)'!C61</f>
        <v>0</v>
      </c>
      <c r="R54" s="18">
        <f>'Formato 6 a)'!D61</f>
        <v>30000</v>
      </c>
      <c r="S54" s="18">
        <f>'Formato 6 a)'!E61</f>
        <v>0</v>
      </c>
      <c r="T54" s="18">
        <f>'Formato 6 a)'!F61</f>
        <v>0</v>
      </c>
      <c r="U54" s="18">
        <f>'Formato 6 a)'!G61</f>
        <v>30000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218620.51</v>
      </c>
      <c r="Q55" s="18">
        <f>'Formato 6 a)'!C62</f>
        <v>-218620.51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218620.51</v>
      </c>
      <c r="Q63" s="18">
        <f>'Formato 6 a)'!C70</f>
        <v>-218620.51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80000</v>
      </c>
      <c r="Q64" s="18">
        <f>'Formato 6 a)'!C71</f>
        <v>50200</v>
      </c>
      <c r="R64" s="18">
        <f>'Formato 6 a)'!D71</f>
        <v>130200</v>
      </c>
      <c r="S64" s="18">
        <f>'Formato 6 a)'!E71</f>
        <v>0</v>
      </c>
      <c r="T64" s="18">
        <f>'Formato 6 a)'!F71</f>
        <v>0</v>
      </c>
      <c r="U64" s="18">
        <f>'Formato 6 a)'!G71</f>
        <v>130200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80000</v>
      </c>
      <c r="Q67" s="18">
        <f>'Formato 6 a)'!C74</f>
        <v>50200</v>
      </c>
      <c r="R67" s="18">
        <f>'Formato 6 a)'!D74</f>
        <v>130200</v>
      </c>
      <c r="S67" s="18">
        <f>'Formato 6 a)'!E74</f>
        <v>0</v>
      </c>
      <c r="T67" s="18">
        <f>'Formato 6 a)'!F74</f>
        <v>0</v>
      </c>
      <c r="U67" s="18">
        <f>'Formato 6 a)'!G74</f>
        <v>130200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1</v>
      </c>
      <c r="R135">
        <f>'Formato 6 a)'!D143</f>
        <v>3</v>
      </c>
      <c r="S135">
        <f>'Formato 6 a)'!E143</f>
        <v>1</v>
      </c>
      <c r="T135">
        <f>'Formato 6 a)'!F143</f>
        <v>1</v>
      </c>
      <c r="U135">
        <f>'Formato 6 a)'!G143</f>
        <v>2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64670785.169999994</v>
      </c>
      <c r="Q150">
        <f>'Formato 6 a)'!C159</f>
        <v>14688088.970000001</v>
      </c>
      <c r="R150">
        <f>'Formato 6 a)'!D159</f>
        <v>79358874.140000001</v>
      </c>
      <c r="S150">
        <f>'Formato 6 a)'!E159</f>
        <v>13615895.959999999</v>
      </c>
      <c r="T150">
        <f>'Formato 6 a)'!F159</f>
        <v>13605895.959999999</v>
      </c>
      <c r="U150">
        <f>'Formato 6 a)'!G159</f>
        <v>65742978.180000007</v>
      </c>
    </row>
  </sheetData>
  <sheetProtection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82"/>
  <sheetViews>
    <sheetView showGridLines="0" zoomScale="90" zoomScaleNormal="90" workbookViewId="0">
      <selection activeCell="G15" sqref="G15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3282</v>
      </c>
      <c r="B1" s="172"/>
      <c r="C1" s="172"/>
      <c r="D1" s="172"/>
      <c r="E1" s="172"/>
      <c r="F1" s="172"/>
      <c r="G1" s="172"/>
    </row>
    <row r="2" spans="1:7" x14ac:dyDescent="0.25">
      <c r="A2" s="153" t="str">
        <f>ENTE_PUBLICO_A</f>
        <v>Municipio de Santa Catarina,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x14ac:dyDescent="0.25">
      <c r="A5" s="159" t="str">
        <f>TRIMESTRE</f>
        <v>Del 1 de enero al 30 de marzo de 2022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x14ac:dyDescent="0.25">
      <c r="A9" s="52" t="s">
        <v>432</v>
      </c>
      <c r="B9" s="59">
        <f>SUM(B10:GASTO_NE_FIN_01)</f>
        <v>64670785.170000002</v>
      </c>
      <c r="C9" s="59">
        <f>SUM(C10:GASTO_NE_FIN_02)</f>
        <v>14688088.970000001</v>
      </c>
      <c r="D9" s="59">
        <f>SUM(D10:GASTO_NE_FIN_03)</f>
        <v>79358874.140000001</v>
      </c>
      <c r="E9" s="59">
        <f>SUM(E10:GASTO_NE_FIN_04)</f>
        <v>13615895.959999999</v>
      </c>
      <c r="F9" s="59">
        <f>SUM(F10:GASTO_NE_FIN_05)</f>
        <v>13605895.959999999</v>
      </c>
      <c r="G9" s="59">
        <f>SUM(G10:GASTO_NE_FIN_06)</f>
        <v>65742978.179999992</v>
      </c>
    </row>
    <row r="10" spans="1:7" s="24" customFormat="1" x14ac:dyDescent="0.25">
      <c r="A10" s="144" t="s">
        <v>3296</v>
      </c>
      <c r="B10" s="60">
        <v>8718127.0399999991</v>
      </c>
      <c r="C10" s="60">
        <v>1273119.03</v>
      </c>
      <c r="D10" s="60">
        <v>9991246.0699999984</v>
      </c>
      <c r="E10" s="60">
        <v>2097013.22</v>
      </c>
      <c r="F10" s="60">
        <v>2097013.22</v>
      </c>
      <c r="G10" s="77">
        <v>7894232.8499999996</v>
      </c>
    </row>
    <row r="11" spans="1:7" s="24" customFormat="1" x14ac:dyDescent="0.25">
      <c r="A11" s="144" t="s">
        <v>3297</v>
      </c>
      <c r="B11" s="60">
        <v>615747.47</v>
      </c>
      <c r="C11" s="60">
        <v>-36852.019999999997</v>
      </c>
      <c r="D11" s="60">
        <v>578895.44999999995</v>
      </c>
      <c r="E11" s="60">
        <v>105551.98</v>
      </c>
      <c r="F11" s="60">
        <v>105551.98</v>
      </c>
      <c r="G11" s="77">
        <v>473343.47</v>
      </c>
    </row>
    <row r="12" spans="1:7" s="24" customFormat="1" x14ac:dyDescent="0.25">
      <c r="A12" s="144" t="s">
        <v>3298</v>
      </c>
      <c r="B12" s="60">
        <v>2659142.35</v>
      </c>
      <c r="C12" s="60">
        <v>159664.43</v>
      </c>
      <c r="D12" s="60">
        <v>2818806.7800000003</v>
      </c>
      <c r="E12" s="60">
        <v>529262.64</v>
      </c>
      <c r="F12" s="60">
        <v>529262.64</v>
      </c>
      <c r="G12" s="77">
        <v>2289544.14</v>
      </c>
    </row>
    <row r="13" spans="1:7" s="24" customFormat="1" x14ac:dyDescent="0.25">
      <c r="A13" s="144" t="s">
        <v>3299</v>
      </c>
      <c r="B13" s="60">
        <v>1333477.27</v>
      </c>
      <c r="C13" s="60">
        <v>8339.49</v>
      </c>
      <c r="D13" s="60">
        <v>1341816.76</v>
      </c>
      <c r="E13" s="60">
        <v>252159.71</v>
      </c>
      <c r="F13" s="60">
        <v>252159.71</v>
      </c>
      <c r="G13" s="77">
        <v>1089657.05</v>
      </c>
    </row>
    <row r="14" spans="1:7" s="24" customFormat="1" x14ac:dyDescent="0.25">
      <c r="A14" s="144" t="s">
        <v>3300</v>
      </c>
      <c r="B14" s="60">
        <v>288264.46999999997</v>
      </c>
      <c r="C14" s="60">
        <v>-2.1800000000000002</v>
      </c>
      <c r="D14" s="60">
        <v>288262.28999999998</v>
      </c>
      <c r="E14" s="60">
        <v>68611.759999999995</v>
      </c>
      <c r="F14" s="60">
        <v>68611.759999999995</v>
      </c>
      <c r="G14" s="77">
        <v>219650.52999999997</v>
      </c>
    </row>
    <row r="15" spans="1:7" s="24" customFormat="1" x14ac:dyDescent="0.25">
      <c r="A15" s="144" t="s">
        <v>3301</v>
      </c>
      <c r="B15" s="60">
        <v>245754.26</v>
      </c>
      <c r="C15" s="60">
        <v>31079.260000000002</v>
      </c>
      <c r="D15" s="60">
        <v>276833.52</v>
      </c>
      <c r="E15" s="60">
        <v>47332.18</v>
      </c>
      <c r="F15" s="60">
        <v>47332.18</v>
      </c>
      <c r="G15" s="77">
        <v>229501.34000000003</v>
      </c>
    </row>
    <row r="16" spans="1:7" s="24" customFormat="1" x14ac:dyDescent="0.25">
      <c r="A16" s="144" t="s">
        <v>3302</v>
      </c>
      <c r="B16" s="60">
        <v>1217494.26</v>
      </c>
      <c r="C16" s="60">
        <v>0</v>
      </c>
      <c r="D16" s="60">
        <v>1217494.26</v>
      </c>
      <c r="E16" s="60">
        <v>278305.58</v>
      </c>
      <c r="F16" s="60">
        <v>278305.58</v>
      </c>
      <c r="G16" s="77">
        <v>939188.67999999993</v>
      </c>
    </row>
    <row r="17" spans="1:7" s="24" customFormat="1" x14ac:dyDescent="0.25">
      <c r="A17" s="144" t="s">
        <v>3303</v>
      </c>
      <c r="B17" s="60">
        <v>2256205.29</v>
      </c>
      <c r="C17" s="60">
        <v>199369.74</v>
      </c>
      <c r="D17" s="60">
        <v>2455575.0300000003</v>
      </c>
      <c r="E17" s="60">
        <v>577323.07999999996</v>
      </c>
      <c r="F17" s="60">
        <v>577323.07999999996</v>
      </c>
      <c r="G17" s="77">
        <v>1878251.9500000002</v>
      </c>
    </row>
    <row r="18" spans="1:7" s="24" customFormat="1" x14ac:dyDescent="0.25">
      <c r="A18" s="144" t="s">
        <v>3304</v>
      </c>
      <c r="B18" s="60">
        <v>938371.88</v>
      </c>
      <c r="C18" s="60">
        <v>0</v>
      </c>
      <c r="D18" s="60">
        <v>938371.88</v>
      </c>
      <c r="E18" s="60">
        <v>151625.09</v>
      </c>
      <c r="F18" s="60">
        <v>151625.09</v>
      </c>
      <c r="G18" s="77">
        <v>786746.79</v>
      </c>
    </row>
    <row r="19" spans="1:7" s="24" customFormat="1" x14ac:dyDescent="0.25">
      <c r="A19" s="144" t="s">
        <v>3305</v>
      </c>
      <c r="B19" s="60">
        <v>7662136.71</v>
      </c>
      <c r="C19" s="60">
        <v>1468905.57</v>
      </c>
      <c r="D19" s="60">
        <v>9131042.2799999993</v>
      </c>
      <c r="E19" s="60">
        <v>1971757.46</v>
      </c>
      <c r="F19" s="60">
        <v>1971757.46</v>
      </c>
      <c r="G19" s="77">
        <v>7159284.8200000003</v>
      </c>
    </row>
    <row r="20" spans="1:7" s="24" customFormat="1" x14ac:dyDescent="0.25">
      <c r="A20" s="144" t="s">
        <v>3306</v>
      </c>
      <c r="B20" s="60">
        <v>388684.33</v>
      </c>
      <c r="C20" s="60">
        <v>169635.81</v>
      </c>
      <c r="D20" s="60">
        <v>558320.14</v>
      </c>
      <c r="E20" s="60">
        <v>53006.76</v>
      </c>
      <c r="F20" s="60">
        <v>53006.76</v>
      </c>
      <c r="G20" s="77">
        <v>505313.38</v>
      </c>
    </row>
    <row r="21" spans="1:7" s="24" customFormat="1" x14ac:dyDescent="0.25">
      <c r="A21" s="144" t="s">
        <v>3307</v>
      </c>
      <c r="B21" s="60">
        <v>3210477.46</v>
      </c>
      <c r="C21" s="60">
        <v>27481.42</v>
      </c>
      <c r="D21" s="60">
        <v>3237958.88</v>
      </c>
      <c r="E21" s="60">
        <v>803412.43</v>
      </c>
      <c r="F21" s="60">
        <v>803412.43</v>
      </c>
      <c r="G21" s="77">
        <v>2434546.4499999997</v>
      </c>
    </row>
    <row r="22" spans="1:7" s="24" customFormat="1" x14ac:dyDescent="0.25">
      <c r="A22" s="144" t="s">
        <v>3308</v>
      </c>
      <c r="B22" s="60">
        <v>740996.11</v>
      </c>
      <c r="C22" s="60">
        <v>12437.78</v>
      </c>
      <c r="D22" s="60">
        <v>753433.89</v>
      </c>
      <c r="E22" s="60">
        <v>70394.17</v>
      </c>
      <c r="F22" s="60">
        <v>70394.17</v>
      </c>
      <c r="G22" s="77">
        <v>683039.72</v>
      </c>
    </row>
    <row r="23" spans="1:7" s="24" customFormat="1" x14ac:dyDescent="0.25">
      <c r="A23" s="144" t="s">
        <v>3309</v>
      </c>
      <c r="B23" s="60">
        <v>3244959.12</v>
      </c>
      <c r="C23" s="60">
        <v>642404.73</v>
      </c>
      <c r="D23" s="60">
        <v>3887363.85</v>
      </c>
      <c r="E23" s="60">
        <v>2599869.41</v>
      </c>
      <c r="F23" s="60">
        <v>2599869.41</v>
      </c>
      <c r="G23" s="77">
        <v>1287494.44</v>
      </c>
    </row>
    <row r="24" spans="1:7" s="24" customFormat="1" x14ac:dyDescent="0.25">
      <c r="A24" s="144" t="s">
        <v>3310</v>
      </c>
      <c r="B24" s="60">
        <v>1782264.31</v>
      </c>
      <c r="C24" s="60">
        <v>262419.40000000002</v>
      </c>
      <c r="D24" s="60">
        <v>2044683.71</v>
      </c>
      <c r="E24" s="60">
        <v>209032.69</v>
      </c>
      <c r="F24" s="60">
        <v>199032.69</v>
      </c>
      <c r="G24" s="77">
        <v>1835651.02</v>
      </c>
    </row>
    <row r="25" spans="1:7" s="24" customFormat="1" x14ac:dyDescent="0.25">
      <c r="A25" s="144" t="s">
        <v>3311</v>
      </c>
      <c r="B25" s="60">
        <v>1005553.31</v>
      </c>
      <c r="C25" s="60">
        <v>180423.52</v>
      </c>
      <c r="D25" s="60">
        <v>1185976.83</v>
      </c>
      <c r="E25" s="60">
        <v>132899.76999999999</v>
      </c>
      <c r="F25" s="60">
        <v>132899.76999999999</v>
      </c>
      <c r="G25" s="77">
        <v>1053077.06</v>
      </c>
    </row>
    <row r="26" spans="1:7" s="24" customFormat="1" x14ac:dyDescent="0.25">
      <c r="A26" s="144" t="s">
        <v>3312</v>
      </c>
      <c r="B26" s="60">
        <v>750552.8</v>
      </c>
      <c r="C26" s="60">
        <v>183999.57</v>
      </c>
      <c r="D26" s="60">
        <v>934552.37000000011</v>
      </c>
      <c r="E26" s="60">
        <v>115031.56</v>
      </c>
      <c r="F26" s="60">
        <v>115031.56</v>
      </c>
      <c r="G26" s="77">
        <v>819520.81</v>
      </c>
    </row>
    <row r="27" spans="1:7" s="24" customFormat="1" x14ac:dyDescent="0.25">
      <c r="A27" s="144" t="s">
        <v>3313</v>
      </c>
      <c r="B27" s="60">
        <v>267595.74</v>
      </c>
      <c r="C27" s="60">
        <v>12437.78</v>
      </c>
      <c r="D27" s="60">
        <v>280033.52</v>
      </c>
      <c r="E27" s="60">
        <v>48267.72</v>
      </c>
      <c r="F27" s="60">
        <v>48267.72</v>
      </c>
      <c r="G27" s="77">
        <v>231765.8</v>
      </c>
    </row>
    <row r="28" spans="1:7" s="24" customFormat="1" x14ac:dyDescent="0.25">
      <c r="A28" s="144" t="s">
        <v>3314</v>
      </c>
      <c r="B28" s="60">
        <v>1105794.7</v>
      </c>
      <c r="C28" s="60">
        <v>8102.6899999999987</v>
      </c>
      <c r="D28" s="60">
        <v>1113897.3899999999</v>
      </c>
      <c r="E28" s="60">
        <v>145200.76</v>
      </c>
      <c r="F28" s="60">
        <v>145200.76</v>
      </c>
      <c r="G28" s="77">
        <v>968696.62999999989</v>
      </c>
    </row>
    <row r="29" spans="1:7" s="24" customFormat="1" x14ac:dyDescent="0.25">
      <c r="A29" s="144" t="s">
        <v>3315</v>
      </c>
      <c r="B29" s="60">
        <v>772743.84</v>
      </c>
      <c r="C29" s="60">
        <v>855702.81</v>
      </c>
      <c r="D29" s="60">
        <v>1628446.65</v>
      </c>
      <c r="E29" s="60">
        <v>185911.34</v>
      </c>
      <c r="F29" s="60">
        <v>185911.34</v>
      </c>
      <c r="G29" s="77">
        <v>1442535.31</v>
      </c>
    </row>
    <row r="30" spans="1:7" s="24" customFormat="1" x14ac:dyDescent="0.25">
      <c r="A30" s="144" t="s">
        <v>3316</v>
      </c>
      <c r="B30" s="60">
        <v>379154.26</v>
      </c>
      <c r="C30" s="60">
        <v>84879.26</v>
      </c>
      <c r="D30" s="60">
        <v>464033.52</v>
      </c>
      <c r="E30" s="60">
        <v>76289.2</v>
      </c>
      <c r="F30" s="60">
        <v>76289.2</v>
      </c>
      <c r="G30" s="77">
        <v>387744.32</v>
      </c>
    </row>
    <row r="31" spans="1:7" s="24" customFormat="1" x14ac:dyDescent="0.25">
      <c r="A31" s="144" t="s">
        <v>3317</v>
      </c>
      <c r="B31" s="60">
        <v>564540.86</v>
      </c>
      <c r="C31" s="60">
        <v>0</v>
      </c>
      <c r="D31" s="60">
        <v>564540.86</v>
      </c>
      <c r="E31" s="60">
        <v>73897.3</v>
      </c>
      <c r="F31" s="60">
        <v>73897.3</v>
      </c>
      <c r="G31" s="77">
        <v>490643.56</v>
      </c>
    </row>
    <row r="32" spans="1:7" s="24" customFormat="1" x14ac:dyDescent="0.25">
      <c r="A32" s="144" t="s">
        <v>3318</v>
      </c>
      <c r="B32" s="60">
        <v>5929803.21</v>
      </c>
      <c r="C32" s="60">
        <v>755583.66</v>
      </c>
      <c r="D32" s="60">
        <v>6685386.8700000001</v>
      </c>
      <c r="E32" s="60">
        <v>1071929.75</v>
      </c>
      <c r="F32" s="60">
        <v>1071929.75</v>
      </c>
      <c r="G32" s="77">
        <v>5613457.1200000001</v>
      </c>
    </row>
    <row r="33" spans="1:7" s="24" customFormat="1" x14ac:dyDescent="0.25">
      <c r="A33" s="144" t="s">
        <v>3319</v>
      </c>
      <c r="B33" s="60">
        <v>1089309.8899999999</v>
      </c>
      <c r="C33" s="60">
        <v>15036.91</v>
      </c>
      <c r="D33" s="60">
        <v>1104346.7999999998</v>
      </c>
      <c r="E33" s="60">
        <v>115335.41</v>
      </c>
      <c r="F33" s="60">
        <v>115335.41</v>
      </c>
      <c r="G33" s="77">
        <v>989011.3899999999</v>
      </c>
    </row>
    <row r="34" spans="1:7" s="24" customFormat="1" x14ac:dyDescent="0.25">
      <c r="A34" s="144" t="s">
        <v>3320</v>
      </c>
      <c r="B34" s="60">
        <v>393354.26</v>
      </c>
      <c r="C34" s="60">
        <v>34879.26</v>
      </c>
      <c r="D34" s="60">
        <v>428233.52</v>
      </c>
      <c r="E34" s="60">
        <v>81537.56</v>
      </c>
      <c r="F34" s="60">
        <v>81537.56</v>
      </c>
      <c r="G34" s="77">
        <v>346695.96</v>
      </c>
    </row>
    <row r="35" spans="1:7" s="24" customFormat="1" x14ac:dyDescent="0.25">
      <c r="A35" s="144" t="s">
        <v>3321</v>
      </c>
      <c r="B35" s="60">
        <v>8753664</v>
      </c>
      <c r="C35" s="60">
        <v>3155032</v>
      </c>
      <c r="D35" s="60">
        <v>11908696</v>
      </c>
      <c r="E35" s="60">
        <v>0</v>
      </c>
      <c r="F35" s="60">
        <v>0</v>
      </c>
      <c r="G35" s="77">
        <v>11908696</v>
      </c>
    </row>
    <row r="36" spans="1:7" s="24" customFormat="1" x14ac:dyDescent="0.25">
      <c r="A36" s="144" t="s">
        <v>3322</v>
      </c>
      <c r="B36" s="60">
        <v>0</v>
      </c>
      <c r="C36" s="60">
        <v>710000</v>
      </c>
      <c r="D36" s="60">
        <v>710000</v>
      </c>
      <c r="E36" s="60">
        <v>0</v>
      </c>
      <c r="F36" s="60">
        <v>0</v>
      </c>
      <c r="G36" s="77">
        <v>710000</v>
      </c>
    </row>
    <row r="37" spans="1:7" s="24" customFormat="1" x14ac:dyDescent="0.25">
      <c r="A37" s="144" t="s">
        <v>3323</v>
      </c>
      <c r="B37" s="60">
        <v>751042</v>
      </c>
      <c r="C37" s="60">
        <v>-10813</v>
      </c>
      <c r="D37" s="60">
        <v>740229</v>
      </c>
      <c r="E37" s="60">
        <v>0</v>
      </c>
      <c r="F37" s="60">
        <v>0</v>
      </c>
      <c r="G37" s="77">
        <v>740229</v>
      </c>
    </row>
    <row r="38" spans="1:7" s="24" customFormat="1" x14ac:dyDescent="0.25">
      <c r="A38" s="144" t="s">
        <v>3324</v>
      </c>
      <c r="B38" s="60">
        <v>2000000</v>
      </c>
      <c r="C38" s="60">
        <v>500000</v>
      </c>
      <c r="D38" s="60">
        <v>2500000</v>
      </c>
      <c r="E38" s="60">
        <v>0</v>
      </c>
      <c r="F38" s="60">
        <v>0</v>
      </c>
      <c r="G38" s="77">
        <v>2500000</v>
      </c>
    </row>
    <row r="39" spans="1:7" s="24" customFormat="1" x14ac:dyDescent="0.25">
      <c r="A39" s="144" t="s">
        <v>3325</v>
      </c>
      <c r="B39" s="60">
        <v>470000</v>
      </c>
      <c r="C39" s="60">
        <v>60750</v>
      </c>
      <c r="D39" s="60">
        <v>530750</v>
      </c>
      <c r="E39" s="60">
        <v>0</v>
      </c>
      <c r="F39" s="60">
        <v>0</v>
      </c>
      <c r="G39" s="77">
        <v>530750</v>
      </c>
    </row>
    <row r="40" spans="1:7" s="24" customFormat="1" x14ac:dyDescent="0.25">
      <c r="A40" s="144" t="s">
        <v>3326</v>
      </c>
      <c r="B40" s="60">
        <v>500000</v>
      </c>
      <c r="C40" s="60">
        <v>0</v>
      </c>
      <c r="D40" s="60">
        <v>500000</v>
      </c>
      <c r="E40" s="60">
        <v>26000</v>
      </c>
      <c r="F40" s="60">
        <v>26000</v>
      </c>
      <c r="G40" s="77">
        <v>474000</v>
      </c>
    </row>
    <row r="41" spans="1:7" s="24" customFormat="1" x14ac:dyDescent="0.25">
      <c r="A41" s="144" t="s">
        <v>3327</v>
      </c>
      <c r="B41" s="60">
        <v>0</v>
      </c>
      <c r="C41" s="60">
        <v>0</v>
      </c>
      <c r="D41" s="60">
        <v>0</v>
      </c>
      <c r="E41" s="60">
        <v>1728937.43</v>
      </c>
      <c r="F41" s="60">
        <v>1728937.43</v>
      </c>
      <c r="G41" s="77">
        <v>-1728937.43</v>
      </c>
    </row>
    <row r="42" spans="1:7" s="24" customFormat="1" x14ac:dyDescent="0.25">
      <c r="A42" s="144" t="s">
        <v>3328</v>
      </c>
      <c r="B42" s="60">
        <v>218620.51</v>
      </c>
      <c r="C42" s="60">
        <v>-22150.330000000016</v>
      </c>
      <c r="D42" s="60">
        <v>196470.18</v>
      </c>
      <c r="E42" s="60">
        <v>0</v>
      </c>
      <c r="F42" s="60">
        <v>0</v>
      </c>
      <c r="G42" s="77">
        <v>196470.18</v>
      </c>
    </row>
    <row r="43" spans="1:7" s="24" customFormat="1" x14ac:dyDescent="0.25">
      <c r="A43" s="144" t="s">
        <v>3329</v>
      </c>
      <c r="B43" s="60">
        <v>4416953.46</v>
      </c>
      <c r="C43" s="60">
        <v>22150.330000000016</v>
      </c>
      <c r="D43" s="60">
        <v>4439103.79</v>
      </c>
      <c r="E43" s="60">
        <v>0</v>
      </c>
      <c r="F43" s="60">
        <v>0</v>
      </c>
      <c r="G43" s="77">
        <v>4439103.79</v>
      </c>
    </row>
    <row r="44" spans="1:7" s="24" customFormat="1" x14ac:dyDescent="0.25">
      <c r="A44" s="144" t="s">
        <v>3330</v>
      </c>
      <c r="B44" s="60">
        <v>0</v>
      </c>
      <c r="C44" s="60">
        <v>471038.14</v>
      </c>
      <c r="D44" s="60">
        <v>471038.14</v>
      </c>
      <c r="E44" s="60">
        <v>0</v>
      </c>
      <c r="F44" s="60">
        <v>0</v>
      </c>
      <c r="G44" s="77">
        <v>471038.14</v>
      </c>
    </row>
    <row r="45" spans="1:7" s="24" customFormat="1" x14ac:dyDescent="0.25">
      <c r="A45" s="144" t="s">
        <v>3331</v>
      </c>
      <c r="B45" s="60">
        <v>0</v>
      </c>
      <c r="C45" s="60">
        <v>20000</v>
      </c>
      <c r="D45" s="60">
        <v>20000</v>
      </c>
      <c r="E45" s="60">
        <v>0</v>
      </c>
      <c r="F45" s="60">
        <v>0</v>
      </c>
      <c r="G45" s="77">
        <v>20000</v>
      </c>
    </row>
    <row r="46" spans="1:7" s="24" customFormat="1" x14ac:dyDescent="0.25">
      <c r="A46" s="144" t="s">
        <v>3332</v>
      </c>
      <c r="B46" s="60">
        <v>0</v>
      </c>
      <c r="C46" s="60">
        <v>8000</v>
      </c>
      <c r="D46" s="60">
        <v>8000</v>
      </c>
      <c r="E46" s="60">
        <v>0</v>
      </c>
      <c r="F46" s="60">
        <v>0</v>
      </c>
      <c r="G46" s="77">
        <v>8000</v>
      </c>
    </row>
    <row r="47" spans="1:7" s="24" customFormat="1" x14ac:dyDescent="0.25">
      <c r="A47" s="144" t="s">
        <v>3333</v>
      </c>
      <c r="B47" s="60">
        <v>0</v>
      </c>
      <c r="C47" s="60">
        <v>45000</v>
      </c>
      <c r="D47" s="60">
        <v>45000</v>
      </c>
      <c r="E47" s="60">
        <v>0</v>
      </c>
      <c r="F47" s="60">
        <v>0</v>
      </c>
      <c r="G47" s="77">
        <v>45000</v>
      </c>
    </row>
    <row r="48" spans="1:7" s="24" customFormat="1" x14ac:dyDescent="0.25">
      <c r="A48" s="144" t="s">
        <v>3334</v>
      </c>
      <c r="B48" s="60">
        <v>0</v>
      </c>
      <c r="C48" s="60">
        <v>15000</v>
      </c>
      <c r="D48" s="60">
        <v>15000</v>
      </c>
      <c r="E48" s="60">
        <v>0</v>
      </c>
      <c r="F48" s="60">
        <v>0</v>
      </c>
      <c r="G48" s="77">
        <v>15000</v>
      </c>
    </row>
    <row r="49" spans="1:7" s="24" customFormat="1" x14ac:dyDescent="0.25">
      <c r="A49" s="144" t="s">
        <v>3335</v>
      </c>
      <c r="B49" s="60">
        <v>0</v>
      </c>
      <c r="C49" s="60">
        <v>57400</v>
      </c>
      <c r="D49" s="60">
        <v>57400</v>
      </c>
      <c r="E49" s="60">
        <v>0</v>
      </c>
      <c r="F49" s="60">
        <v>0</v>
      </c>
      <c r="G49" s="77">
        <v>57400</v>
      </c>
    </row>
    <row r="50" spans="1:7" s="24" customFormat="1" x14ac:dyDescent="0.25">
      <c r="A50" s="144" t="s">
        <v>3336</v>
      </c>
      <c r="B50" s="60">
        <v>0</v>
      </c>
      <c r="C50" s="60">
        <v>15000</v>
      </c>
      <c r="D50" s="60">
        <v>15000</v>
      </c>
      <c r="E50" s="60">
        <v>0</v>
      </c>
      <c r="F50" s="60">
        <v>0</v>
      </c>
      <c r="G50" s="77">
        <v>15000</v>
      </c>
    </row>
    <row r="51" spans="1:7" s="24" customFormat="1" x14ac:dyDescent="0.25">
      <c r="A51" s="144" t="s">
        <v>3337</v>
      </c>
      <c r="B51" s="60">
        <v>0</v>
      </c>
      <c r="C51" s="60">
        <v>45000</v>
      </c>
      <c r="D51" s="60">
        <v>45000</v>
      </c>
      <c r="E51" s="60">
        <v>0</v>
      </c>
      <c r="F51" s="60">
        <v>0</v>
      </c>
      <c r="G51" s="77">
        <v>45000</v>
      </c>
    </row>
    <row r="52" spans="1:7" s="24" customFormat="1" x14ac:dyDescent="0.25">
      <c r="A52" s="144" t="s">
        <v>3338</v>
      </c>
      <c r="B52" s="60">
        <v>0</v>
      </c>
      <c r="C52" s="60">
        <v>15000</v>
      </c>
      <c r="D52" s="60">
        <v>15000</v>
      </c>
      <c r="E52" s="60">
        <v>0</v>
      </c>
      <c r="F52" s="60">
        <v>0</v>
      </c>
      <c r="G52" s="77">
        <v>15000</v>
      </c>
    </row>
    <row r="53" spans="1:7" s="24" customFormat="1" x14ac:dyDescent="0.25">
      <c r="A53" s="144" t="s">
        <v>3339</v>
      </c>
      <c r="B53" s="60">
        <v>0</v>
      </c>
      <c r="C53" s="60">
        <v>545000</v>
      </c>
      <c r="D53" s="60">
        <v>545000</v>
      </c>
      <c r="E53" s="60">
        <v>0</v>
      </c>
      <c r="F53" s="60">
        <v>0</v>
      </c>
      <c r="G53" s="77">
        <v>545000</v>
      </c>
    </row>
    <row r="54" spans="1:7" s="24" customFormat="1" x14ac:dyDescent="0.25">
      <c r="A54" s="144" t="s">
        <v>3340</v>
      </c>
      <c r="B54" s="60">
        <v>0</v>
      </c>
      <c r="C54" s="60">
        <v>609733.91</v>
      </c>
      <c r="D54" s="60">
        <v>609733.91</v>
      </c>
      <c r="E54" s="60">
        <v>0</v>
      </c>
      <c r="F54" s="60">
        <v>0</v>
      </c>
      <c r="G54" s="77">
        <v>609733.91</v>
      </c>
    </row>
    <row r="55" spans="1:7" s="24" customFormat="1" x14ac:dyDescent="0.25">
      <c r="A55" s="144" t="s">
        <v>3341</v>
      </c>
      <c r="B55" s="60">
        <v>0</v>
      </c>
      <c r="C55" s="60">
        <v>15000</v>
      </c>
      <c r="D55" s="60">
        <v>15000</v>
      </c>
      <c r="E55" s="60">
        <v>0</v>
      </c>
      <c r="F55" s="60">
        <v>0</v>
      </c>
      <c r="G55" s="77">
        <v>15000</v>
      </c>
    </row>
    <row r="56" spans="1:7" s="24" customFormat="1" x14ac:dyDescent="0.25">
      <c r="A56" s="144" t="s">
        <v>3342</v>
      </c>
      <c r="B56" s="60">
        <v>0</v>
      </c>
      <c r="C56" s="60">
        <v>100000</v>
      </c>
      <c r="D56" s="60">
        <v>100000</v>
      </c>
      <c r="E56" s="60">
        <v>0</v>
      </c>
      <c r="F56" s="60">
        <v>0</v>
      </c>
      <c r="G56" s="77">
        <v>100000</v>
      </c>
    </row>
    <row r="57" spans="1:7" s="24" customFormat="1" x14ac:dyDescent="0.25">
      <c r="A57" s="144" t="s">
        <v>3343</v>
      </c>
      <c r="B57" s="60">
        <v>0</v>
      </c>
      <c r="C57" s="60">
        <v>55000</v>
      </c>
      <c r="D57" s="60">
        <v>55000</v>
      </c>
      <c r="E57" s="60">
        <v>0</v>
      </c>
      <c r="F57" s="60">
        <v>0</v>
      </c>
      <c r="G57" s="77">
        <v>55000</v>
      </c>
    </row>
    <row r="58" spans="1:7" s="24" customFormat="1" x14ac:dyDescent="0.25">
      <c r="A58" s="144" t="s">
        <v>3344</v>
      </c>
      <c r="B58" s="60">
        <v>0</v>
      </c>
      <c r="C58" s="60">
        <v>30000</v>
      </c>
      <c r="D58" s="60">
        <v>30000</v>
      </c>
      <c r="E58" s="60">
        <v>0</v>
      </c>
      <c r="F58" s="60">
        <v>0</v>
      </c>
      <c r="G58" s="77">
        <v>30000</v>
      </c>
    </row>
    <row r="59" spans="1:7" s="24" customFormat="1" x14ac:dyDescent="0.25">
      <c r="A59" s="144" t="s">
        <v>3345</v>
      </c>
      <c r="B59" s="60">
        <v>0</v>
      </c>
      <c r="C59" s="60">
        <v>185000</v>
      </c>
      <c r="D59" s="60">
        <v>185000</v>
      </c>
      <c r="E59" s="60">
        <v>0</v>
      </c>
      <c r="F59" s="60">
        <v>0</v>
      </c>
      <c r="G59" s="77">
        <v>185000</v>
      </c>
    </row>
    <row r="60" spans="1:7" s="24" customFormat="1" x14ac:dyDescent="0.25">
      <c r="A60" s="144" t="s">
        <v>3346</v>
      </c>
      <c r="B60" s="60">
        <v>0</v>
      </c>
      <c r="C60" s="60">
        <v>665500</v>
      </c>
      <c r="D60" s="60">
        <v>665500</v>
      </c>
      <c r="E60" s="60">
        <v>0</v>
      </c>
      <c r="F60" s="60">
        <v>0</v>
      </c>
      <c r="G60" s="77">
        <v>665500</v>
      </c>
    </row>
    <row r="61" spans="1:7" s="24" customFormat="1" x14ac:dyDescent="0.25">
      <c r="A61" s="144" t="s">
        <v>3347</v>
      </c>
      <c r="B61" s="60">
        <v>0</v>
      </c>
      <c r="C61" s="60">
        <v>15000</v>
      </c>
      <c r="D61" s="60">
        <v>15000</v>
      </c>
      <c r="E61" s="60">
        <v>0</v>
      </c>
      <c r="F61" s="60">
        <v>0</v>
      </c>
      <c r="G61" s="77">
        <v>15000</v>
      </c>
    </row>
    <row r="62" spans="1:7" s="24" customFormat="1" x14ac:dyDescent="0.25">
      <c r="A62" s="144" t="s">
        <v>3348</v>
      </c>
      <c r="B62" s="60">
        <v>0</v>
      </c>
      <c r="C62" s="60">
        <v>25000</v>
      </c>
      <c r="D62" s="60">
        <v>25000</v>
      </c>
      <c r="E62" s="60">
        <v>0</v>
      </c>
      <c r="F62" s="60">
        <v>0</v>
      </c>
      <c r="G62" s="77">
        <v>25000</v>
      </c>
    </row>
    <row r="63" spans="1:7" s="24" customFormat="1" x14ac:dyDescent="0.25">
      <c r="A63" s="144" t="s">
        <v>3349</v>
      </c>
      <c r="B63" s="60">
        <v>0</v>
      </c>
      <c r="C63" s="60">
        <v>837400</v>
      </c>
      <c r="D63" s="60">
        <v>837400</v>
      </c>
      <c r="E63" s="60">
        <v>0</v>
      </c>
      <c r="F63" s="60">
        <v>0</v>
      </c>
      <c r="G63" s="77">
        <v>837400</v>
      </c>
    </row>
    <row r="64" spans="1:7" s="24" customFormat="1" x14ac:dyDescent="0.25">
      <c r="A64" s="144" t="s">
        <v>3350</v>
      </c>
      <c r="B64" s="60">
        <v>0</v>
      </c>
      <c r="C64" s="60">
        <v>15000</v>
      </c>
      <c r="D64" s="60">
        <v>15000</v>
      </c>
      <c r="E64" s="60">
        <v>0</v>
      </c>
      <c r="F64" s="60">
        <v>0</v>
      </c>
      <c r="G64" s="77">
        <v>15000</v>
      </c>
    </row>
    <row r="65" spans="1:7" s="24" customFormat="1" x14ac:dyDescent="0.25">
      <c r="A65" s="144" t="s">
        <v>3351</v>
      </c>
      <c r="B65" s="60">
        <v>0</v>
      </c>
      <c r="C65" s="60">
        <v>90000</v>
      </c>
      <c r="D65" s="60">
        <v>90000</v>
      </c>
      <c r="E65" s="60">
        <v>0</v>
      </c>
      <c r="F65" s="60">
        <v>0</v>
      </c>
      <c r="G65" s="77">
        <v>90000</v>
      </c>
    </row>
    <row r="66" spans="1:7" s="24" customFormat="1" x14ac:dyDescent="0.25">
      <c r="A66" s="144" t="s">
        <v>3352</v>
      </c>
      <c r="B66" s="60">
        <v>0</v>
      </c>
      <c r="C66" s="60">
        <v>45000</v>
      </c>
      <c r="D66" s="60">
        <v>45000</v>
      </c>
      <c r="E66" s="60">
        <v>0</v>
      </c>
      <c r="F66" s="60">
        <v>0</v>
      </c>
      <c r="G66" s="77">
        <v>45000</v>
      </c>
    </row>
    <row r="67" spans="1:7" s="24" customFormat="1" x14ac:dyDescent="0.25">
      <c r="A67" s="144"/>
      <c r="B67" s="60"/>
      <c r="C67" s="60"/>
      <c r="D67" s="60"/>
      <c r="E67" s="60"/>
      <c r="F67" s="60"/>
      <c r="G67" s="77"/>
    </row>
    <row r="68" spans="1:7" s="24" customFormat="1" x14ac:dyDescent="0.25">
      <c r="A68" s="144"/>
      <c r="B68" s="60"/>
      <c r="C68" s="60"/>
      <c r="D68" s="60"/>
      <c r="E68" s="60"/>
      <c r="F68" s="60"/>
      <c r="G68" s="77">
        <f t="shared" ref="G68" si="0">D68-E68</f>
        <v>0</v>
      </c>
    </row>
    <row r="69" spans="1:7" x14ac:dyDescent="0.25">
      <c r="A69" s="76" t="s">
        <v>678</v>
      </c>
      <c r="B69" s="54"/>
      <c r="C69" s="54"/>
      <c r="D69" s="54"/>
      <c r="E69" s="54"/>
      <c r="F69" s="54"/>
      <c r="G69" s="54"/>
    </row>
    <row r="70" spans="1:7" s="24" customFormat="1" x14ac:dyDescent="0.25">
      <c r="A70" s="55" t="s">
        <v>433</v>
      </c>
      <c r="B70" s="61">
        <f>SUM(B71:GASTO_E_FIN_01)</f>
        <v>0</v>
      </c>
      <c r="C70" s="61">
        <f>SUM(C71:GASTO_E_FIN_02)</f>
        <v>0</v>
      </c>
      <c r="D70" s="61">
        <f>SUM(D71:GASTO_E_FIN_03)</f>
        <v>0</v>
      </c>
      <c r="E70" s="61">
        <f>SUM(E71:GASTO_E_FIN_04)</f>
        <v>0</v>
      </c>
      <c r="F70" s="61">
        <f>SUM(F71:GASTO_E_FIN_05)</f>
        <v>0</v>
      </c>
      <c r="G70" s="61">
        <f>SUM(G71:GASTO_E_FIN_06)</f>
        <v>0</v>
      </c>
    </row>
    <row r="71" spans="1:7" s="24" customFormat="1" x14ac:dyDescent="0.25">
      <c r="A71" s="144"/>
      <c r="B71" s="60"/>
      <c r="C71" s="60"/>
      <c r="D71" s="60"/>
      <c r="E71" s="60"/>
      <c r="F71" s="60"/>
      <c r="G71" s="60">
        <f>D71-E71</f>
        <v>0</v>
      </c>
    </row>
    <row r="72" spans="1:7" s="24" customFormat="1" x14ac:dyDescent="0.25">
      <c r="A72" s="144"/>
      <c r="B72" s="60"/>
      <c r="C72" s="60"/>
      <c r="D72" s="60"/>
      <c r="E72" s="60"/>
      <c r="F72" s="60"/>
      <c r="G72" s="60">
        <f t="shared" ref="G72:G78" si="1">D72-E72</f>
        <v>0</v>
      </c>
    </row>
    <row r="73" spans="1:7" s="24" customFormat="1" x14ac:dyDescent="0.25">
      <c r="A73" s="144"/>
      <c r="B73" s="60"/>
      <c r="C73" s="60"/>
      <c r="D73" s="60"/>
      <c r="E73" s="60"/>
      <c r="F73" s="60"/>
      <c r="G73" s="60">
        <f t="shared" si="1"/>
        <v>0</v>
      </c>
    </row>
    <row r="74" spans="1:7" s="24" customFormat="1" x14ac:dyDescent="0.25">
      <c r="A74" s="144"/>
      <c r="B74" s="60"/>
      <c r="C74" s="60"/>
      <c r="D74" s="60"/>
      <c r="E74" s="60"/>
      <c r="F74" s="60"/>
      <c r="G74" s="60">
        <f t="shared" si="1"/>
        <v>0</v>
      </c>
    </row>
    <row r="75" spans="1:7" s="24" customFormat="1" x14ac:dyDescent="0.25">
      <c r="A75" s="144"/>
      <c r="B75" s="60"/>
      <c r="C75" s="60"/>
      <c r="D75" s="60"/>
      <c r="E75" s="60"/>
      <c r="F75" s="60"/>
      <c r="G75" s="60">
        <f t="shared" si="1"/>
        <v>0</v>
      </c>
    </row>
    <row r="76" spans="1:7" s="24" customFormat="1" x14ac:dyDescent="0.25">
      <c r="A76" s="144"/>
      <c r="B76" s="60"/>
      <c r="C76" s="60"/>
      <c r="D76" s="60"/>
      <c r="E76" s="60"/>
      <c r="F76" s="60"/>
      <c r="G76" s="60">
        <f t="shared" si="1"/>
        <v>0</v>
      </c>
    </row>
    <row r="77" spans="1:7" s="24" customFormat="1" x14ac:dyDescent="0.25">
      <c r="A77" s="144"/>
      <c r="B77" s="60"/>
      <c r="C77" s="60"/>
      <c r="D77" s="60"/>
      <c r="E77" s="60"/>
      <c r="F77" s="60"/>
      <c r="G77" s="60">
        <f t="shared" si="1"/>
        <v>0</v>
      </c>
    </row>
    <row r="78" spans="1:7" s="24" customFormat="1" x14ac:dyDescent="0.25">
      <c r="A78" s="144"/>
      <c r="B78" s="60"/>
      <c r="C78" s="60"/>
      <c r="D78" s="60"/>
      <c r="E78" s="60"/>
      <c r="F78" s="60"/>
      <c r="G78" s="60">
        <f t="shared" si="1"/>
        <v>0</v>
      </c>
    </row>
    <row r="79" spans="1:7" x14ac:dyDescent="0.25">
      <c r="A79" s="76" t="s">
        <v>678</v>
      </c>
      <c r="B79" s="54"/>
      <c r="C79" s="54"/>
      <c r="D79" s="54"/>
      <c r="E79" s="54"/>
      <c r="F79" s="54"/>
      <c r="G79" s="54"/>
    </row>
    <row r="80" spans="1:7" x14ac:dyDescent="0.25">
      <c r="A80" s="55" t="s">
        <v>360</v>
      </c>
      <c r="B80" s="61">
        <f>GASTO_NE_T1+GASTO_E_T1</f>
        <v>64670785.170000002</v>
      </c>
      <c r="C80" s="61">
        <f>GASTO_NE_T2+GASTO_E_T2</f>
        <v>14688088.970000001</v>
      </c>
      <c r="D80" s="61">
        <f>GASTO_NE_T3+GASTO_E_T3</f>
        <v>79358874.140000001</v>
      </c>
      <c r="E80" s="61">
        <f>GASTO_NE_T4+GASTO_E_T4</f>
        <v>13615895.959999999</v>
      </c>
      <c r="F80" s="61">
        <f>GASTO_NE_T5+GASTO_E_T5</f>
        <v>13605895.959999999</v>
      </c>
      <c r="G80" s="61">
        <f>GASTO_NE_T6+GASTO_E_T6</f>
        <v>65742978.179999992</v>
      </c>
    </row>
    <row r="81" spans="1:7" x14ac:dyDescent="0.25">
      <c r="A81" s="58"/>
      <c r="B81" s="65"/>
      <c r="C81" s="65"/>
      <c r="D81" s="65"/>
      <c r="E81" s="65"/>
      <c r="F81" s="65"/>
      <c r="G81" s="78"/>
    </row>
    <row r="82" spans="1:7" hidden="1" x14ac:dyDescent="0.25">
      <c r="A82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80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64670785.170000002</v>
      </c>
      <c r="Q2" s="18">
        <f>GASTO_NE_T2</f>
        <v>14688088.970000001</v>
      </c>
      <c r="R2" s="18">
        <f>GASTO_NE_T3</f>
        <v>79358874.140000001</v>
      </c>
      <c r="S2" s="18">
        <f>GASTO_NE_T4</f>
        <v>13615895.959999999</v>
      </c>
      <c r="T2" s="18">
        <f>GASTO_NE_T5</f>
        <v>13605895.959999999</v>
      </c>
      <c r="U2" s="18">
        <f>GASTO_NE_T6</f>
        <v>65742978.179999992</v>
      </c>
    </row>
    <row r="3" spans="1:25" x14ac:dyDescent="0.25">
      <c r="A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x14ac:dyDescent="0.25">
      <c r="A4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64670785.170000002</v>
      </c>
      <c r="Q4" s="18">
        <f>TOTAL_E_T2</f>
        <v>14688088.970000001</v>
      </c>
      <c r="R4" s="18">
        <f>TOTAL_E_T3</f>
        <v>79358874.140000001</v>
      </c>
      <c r="S4" s="18">
        <f>TOTAL_E_T4</f>
        <v>13615895.959999999</v>
      </c>
      <c r="T4" s="18">
        <f>TOTAL_E_T5</f>
        <v>13605895.959999999</v>
      </c>
      <c r="U4" s="18">
        <f>TOTAL_E_T6</f>
        <v>65742978.179999992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B72" sqref="B72:B7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3281</v>
      </c>
      <c r="B1" s="179"/>
      <c r="C1" s="179"/>
      <c r="D1" s="179"/>
      <c r="E1" s="179"/>
      <c r="F1" s="179"/>
      <c r="G1" s="179"/>
    </row>
    <row r="2" spans="1:7" x14ac:dyDescent="0.25">
      <c r="A2" s="153" t="str">
        <f>ENTE_PUBLICO_A</f>
        <v>Municipio de Santa Catarina,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x14ac:dyDescent="0.25">
      <c r="A5" s="159" t="str">
        <f>TRIMESTRE</f>
        <v>Del 1 de enero al 30 de marzo de 2022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3278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x14ac:dyDescent="0.25">
      <c r="A9" s="52" t="s">
        <v>363</v>
      </c>
      <c r="B9" s="70">
        <f t="shared" ref="B9:G9" si="0">SUM(B10,B19,B27,B37)</f>
        <v>64670785.169999994</v>
      </c>
      <c r="C9" s="70">
        <f t="shared" si="0"/>
        <v>14688088.970000001</v>
      </c>
      <c r="D9" s="70">
        <f t="shared" si="0"/>
        <v>79358874.139999986</v>
      </c>
      <c r="E9" s="70">
        <f t="shared" si="0"/>
        <v>13615895.959999999</v>
      </c>
      <c r="F9" s="70">
        <f t="shared" si="0"/>
        <v>13605895.959999999</v>
      </c>
      <c r="G9" s="70">
        <f t="shared" si="0"/>
        <v>65742978.179999992</v>
      </c>
    </row>
    <row r="10" spans="1:7" x14ac:dyDescent="0.25">
      <c r="A10" s="53" t="s">
        <v>364</v>
      </c>
      <c r="B10" s="71">
        <f t="shared" ref="B10:G10" si="1">SUM(B11:B18)</f>
        <v>34328734.68</v>
      </c>
      <c r="C10" s="71">
        <f t="shared" si="1"/>
        <v>6026105.29</v>
      </c>
      <c r="D10" s="71">
        <f t="shared" si="1"/>
        <v>40354839.969999999</v>
      </c>
      <c r="E10" s="71">
        <f t="shared" si="1"/>
        <v>7393482.3399999999</v>
      </c>
      <c r="F10" s="71">
        <f t="shared" si="1"/>
        <v>7393482.3399999999</v>
      </c>
      <c r="G10" s="71">
        <f t="shared" si="1"/>
        <v>32961357.630000003</v>
      </c>
    </row>
    <row r="11" spans="1:7" x14ac:dyDescent="0.25">
      <c r="A11" s="63" t="s">
        <v>365</v>
      </c>
      <c r="B11" s="72">
        <v>0</v>
      </c>
      <c r="C11" s="72">
        <v>8000</v>
      </c>
      <c r="D11" s="72">
        <v>8000</v>
      </c>
      <c r="E11" s="72">
        <v>0</v>
      </c>
      <c r="F11" s="72">
        <v>0</v>
      </c>
      <c r="G11" s="72">
        <f>D11-E11</f>
        <v>8000</v>
      </c>
    </row>
    <row r="12" spans="1:7" x14ac:dyDescent="0.2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14771750.990000002</v>
      </c>
      <c r="C13" s="72">
        <v>1948156.5599999998</v>
      </c>
      <c r="D13" s="72">
        <v>16719907.550000003</v>
      </c>
      <c r="E13" s="72">
        <v>3204224.4000000008</v>
      </c>
      <c r="F13" s="72">
        <v>3204224.4000000008</v>
      </c>
      <c r="G13" s="72">
        <f t="shared" si="2"/>
        <v>13515683.150000002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369</v>
      </c>
      <c r="B15" s="72">
        <v>2256205.29</v>
      </c>
      <c r="C15" s="72">
        <v>244369.74000000002</v>
      </c>
      <c r="D15" s="72">
        <v>2500575.0300000003</v>
      </c>
      <c r="E15" s="72">
        <v>577323.08000000007</v>
      </c>
      <c r="F15" s="72">
        <v>577323.08000000007</v>
      </c>
      <c r="G15" s="72">
        <f t="shared" si="2"/>
        <v>1923251.9500000002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7519113.0999999987</v>
      </c>
      <c r="C17" s="72">
        <v>1526120.57</v>
      </c>
      <c r="D17" s="72">
        <v>9045233.6699999981</v>
      </c>
      <c r="E17" s="72">
        <v>1213265.1600000001</v>
      </c>
      <c r="F17" s="72">
        <v>1213265.1600000001</v>
      </c>
      <c r="G17" s="72">
        <f t="shared" si="2"/>
        <v>7831968.5099999979</v>
      </c>
    </row>
    <row r="18" spans="1:7" x14ac:dyDescent="0.25">
      <c r="A18" s="63" t="s">
        <v>372</v>
      </c>
      <c r="B18" s="72">
        <v>9781665.3000000026</v>
      </c>
      <c r="C18" s="72">
        <v>2299458.42</v>
      </c>
      <c r="D18" s="72">
        <v>12081123.720000003</v>
      </c>
      <c r="E18" s="72">
        <v>2398669.6999999997</v>
      </c>
      <c r="F18" s="72">
        <v>2398669.6999999997</v>
      </c>
      <c r="G18" s="72">
        <f t="shared" si="2"/>
        <v>9682454.0200000033</v>
      </c>
    </row>
    <row r="19" spans="1:7" x14ac:dyDescent="0.25">
      <c r="A19" s="53" t="s">
        <v>373</v>
      </c>
      <c r="B19" s="71">
        <f t="shared" ref="B19:G19" si="3">SUM(B20:B26)</f>
        <v>28625611.529999997</v>
      </c>
      <c r="C19" s="71">
        <f t="shared" si="3"/>
        <v>6844001.6100000003</v>
      </c>
      <c r="D19" s="71">
        <f t="shared" si="3"/>
        <v>35469613.139999993</v>
      </c>
      <c r="E19" s="71">
        <f t="shared" si="3"/>
        <v>5886315.7799999993</v>
      </c>
      <c r="F19" s="71">
        <f t="shared" si="3"/>
        <v>5876315.7799999993</v>
      </c>
      <c r="G19" s="71">
        <f t="shared" si="3"/>
        <v>29583297.359999996</v>
      </c>
    </row>
    <row r="20" spans="1:7" x14ac:dyDescent="0.25">
      <c r="A20" s="63" t="s">
        <v>374</v>
      </c>
      <c r="B20" s="71">
        <v>393354.26</v>
      </c>
      <c r="C20" s="71">
        <v>79879.260000000009</v>
      </c>
      <c r="D20" s="71">
        <v>473233.52</v>
      </c>
      <c r="E20" s="71">
        <v>81537.56</v>
      </c>
      <c r="F20" s="71">
        <v>81537.56</v>
      </c>
      <c r="G20" s="72">
        <f>D20-E20</f>
        <v>391695.96</v>
      </c>
    </row>
    <row r="21" spans="1:7" x14ac:dyDescent="0.25">
      <c r="A21" s="63" t="s">
        <v>375</v>
      </c>
      <c r="B21" s="71">
        <v>24223886.849999994</v>
      </c>
      <c r="C21" s="71">
        <v>5806529.8600000003</v>
      </c>
      <c r="D21" s="71">
        <v>30030416.709999993</v>
      </c>
      <c r="E21" s="71">
        <v>5347814.2</v>
      </c>
      <c r="F21" s="71">
        <v>5347814.2</v>
      </c>
      <c r="G21" s="72">
        <f t="shared" ref="G21:G26" si="4">D21-E21</f>
        <v>24682602.509999994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2787817.62</v>
      </c>
      <c r="C23" s="71">
        <v>527842.92000000016</v>
      </c>
      <c r="D23" s="71">
        <v>3315660.54</v>
      </c>
      <c r="E23" s="71">
        <v>341932.46</v>
      </c>
      <c r="F23" s="71">
        <v>331932.46000000002</v>
      </c>
      <c r="G23" s="72">
        <f t="shared" si="4"/>
        <v>2973728.08</v>
      </c>
    </row>
    <row r="24" spans="1:7" x14ac:dyDescent="0.25">
      <c r="A24" s="63" t="s">
        <v>378</v>
      </c>
      <c r="B24" s="71">
        <v>1220552.8</v>
      </c>
      <c r="C24" s="71">
        <v>429749.57</v>
      </c>
      <c r="D24" s="71">
        <v>1650302.37</v>
      </c>
      <c r="E24" s="71">
        <v>115031.56</v>
      </c>
      <c r="F24" s="71">
        <v>115031.56</v>
      </c>
      <c r="G24" s="72">
        <f t="shared" si="4"/>
        <v>1535270.81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 t="shared" ref="B27:G27" si="5">SUM(B28:B36)</f>
        <v>1716438.96</v>
      </c>
      <c r="C27" s="71">
        <f t="shared" si="5"/>
        <v>1817982.07</v>
      </c>
      <c r="D27" s="71">
        <f t="shared" si="5"/>
        <v>3534421.0300000003</v>
      </c>
      <c r="E27" s="71">
        <f t="shared" si="5"/>
        <v>336097.83999999997</v>
      </c>
      <c r="F27" s="71">
        <f t="shared" si="5"/>
        <v>336097.83999999997</v>
      </c>
      <c r="G27" s="71">
        <f t="shared" si="5"/>
        <v>3198323.19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772743.84000000008</v>
      </c>
      <c r="C29" s="71">
        <v>880702.81</v>
      </c>
      <c r="D29" s="71">
        <v>1653446.6500000001</v>
      </c>
      <c r="E29" s="71">
        <v>185911.34</v>
      </c>
      <c r="F29" s="71">
        <v>185911.34</v>
      </c>
      <c r="G29" s="72">
        <f t="shared" ref="G29:G36" si="6">D29-E29</f>
        <v>1467535.31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943695.11999999988</v>
      </c>
      <c r="C36" s="71">
        <v>937279.26</v>
      </c>
      <c r="D36" s="71">
        <v>1880974.38</v>
      </c>
      <c r="E36" s="71">
        <v>150186.5</v>
      </c>
      <c r="F36" s="71">
        <v>150186.5</v>
      </c>
      <c r="G36" s="72">
        <f t="shared" si="6"/>
        <v>1730787.88</v>
      </c>
    </row>
    <row r="37" spans="1:7" ht="30" x14ac:dyDescent="0.25">
      <c r="A37" s="64" t="s">
        <v>398</v>
      </c>
      <c r="B37" s="71">
        <f t="shared" ref="B37:G37" si="7">SUM(B38:B41)</f>
        <v>0</v>
      </c>
      <c r="C37" s="71">
        <f t="shared" si="7"/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 t="shared" si="7"/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>D40-E40</f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>D41-E41</f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 t="shared" ref="B43:G43" si="8">SUM(B44,B53,B61,B71)</f>
        <v>0</v>
      </c>
      <c r="C43" s="73">
        <f t="shared" si="8"/>
        <v>0</v>
      </c>
      <c r="D43" s="73">
        <f t="shared" si="8"/>
        <v>0</v>
      </c>
      <c r="E43" s="73">
        <f t="shared" si="8"/>
        <v>0</v>
      </c>
      <c r="F43" s="73">
        <f t="shared" si="8"/>
        <v>0</v>
      </c>
      <c r="G43" s="73">
        <f t="shared" si="8"/>
        <v>0</v>
      </c>
    </row>
    <row r="44" spans="1:7" x14ac:dyDescent="0.25">
      <c r="A44" s="53" t="s">
        <v>430</v>
      </c>
      <c r="B44" s="72">
        <f t="shared" ref="B44:G44" si="9">SUM(B45:B52)</f>
        <v>0</v>
      </c>
      <c r="C44" s="72">
        <f t="shared" si="9"/>
        <v>0</v>
      </c>
      <c r="D44" s="72">
        <f t="shared" si="9"/>
        <v>0</v>
      </c>
      <c r="E44" s="72">
        <f t="shared" si="9"/>
        <v>0</v>
      </c>
      <c r="F44" s="72">
        <f t="shared" si="9"/>
        <v>0</v>
      </c>
      <c r="G44" s="72">
        <f t="shared" si="9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0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0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0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0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0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0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0"/>
        <v>0</v>
      </c>
    </row>
    <row r="53" spans="1:7" x14ac:dyDescent="0.25">
      <c r="A53" s="53" t="s">
        <v>373</v>
      </c>
      <c r="B53" s="71">
        <f t="shared" ref="B53:G53" si="11">SUM(B54:B60)</f>
        <v>0</v>
      </c>
      <c r="C53" s="71">
        <f t="shared" si="11"/>
        <v>0</v>
      </c>
      <c r="D53" s="71">
        <f t="shared" si="11"/>
        <v>0</v>
      </c>
      <c r="E53" s="71">
        <f t="shared" si="11"/>
        <v>0</v>
      </c>
      <c r="F53" s="71">
        <f t="shared" si="11"/>
        <v>0</v>
      </c>
      <c r="G53" s="71">
        <f t="shared" si="11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2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2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2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2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2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2"/>
        <v>0</v>
      </c>
    </row>
    <row r="61" spans="1:7" x14ac:dyDescent="0.25">
      <c r="A61" s="53" t="s">
        <v>381</v>
      </c>
      <c r="B61" s="71">
        <f t="shared" ref="B61:G61" si="13">SUM(B62:B70)</f>
        <v>0</v>
      </c>
      <c r="C61" s="71">
        <f t="shared" si="13"/>
        <v>0</v>
      </c>
      <c r="D61" s="71">
        <f t="shared" si="13"/>
        <v>0</v>
      </c>
      <c r="E61" s="71">
        <f t="shared" si="13"/>
        <v>0</v>
      </c>
      <c r="F61" s="71">
        <f t="shared" si="13"/>
        <v>0</v>
      </c>
      <c r="G61" s="71">
        <f t="shared" si="13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4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4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4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4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4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4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4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4"/>
        <v>0</v>
      </c>
    </row>
    <row r="71" spans="1:8" x14ac:dyDescent="0.25">
      <c r="A71" s="64" t="s">
        <v>3291</v>
      </c>
      <c r="B71" s="74">
        <f t="shared" ref="B71:G71" si="15">SUM(B72:B75)</f>
        <v>0</v>
      </c>
      <c r="C71" s="74">
        <f t="shared" si="15"/>
        <v>0</v>
      </c>
      <c r="D71" s="74">
        <f t="shared" si="15"/>
        <v>0</v>
      </c>
      <c r="E71" s="74">
        <f t="shared" si="15"/>
        <v>0</v>
      </c>
      <c r="F71" s="74">
        <f t="shared" si="15"/>
        <v>0</v>
      </c>
      <c r="G71" s="74">
        <f t="shared" si="15"/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2">
        <v>0</v>
      </c>
      <c r="C73" s="71">
        <v>0</v>
      </c>
      <c r="D73" s="71">
        <v>0</v>
      </c>
      <c r="E73" s="71">
        <v>0</v>
      </c>
      <c r="F73" s="71">
        <v>0</v>
      </c>
      <c r="G73" s="72">
        <f>D73-E73</f>
        <v>0</v>
      </c>
    </row>
    <row r="74" spans="1:8" x14ac:dyDescent="0.25">
      <c r="A74" s="69" t="s">
        <v>393</v>
      </c>
      <c r="B74" s="72">
        <v>0</v>
      </c>
      <c r="C74" s="71">
        <v>0</v>
      </c>
      <c r="D74" s="71">
        <v>0</v>
      </c>
      <c r="E74" s="71">
        <v>0</v>
      </c>
      <c r="F74" s="71">
        <v>0</v>
      </c>
      <c r="G74" s="72">
        <f>D74-E74</f>
        <v>0</v>
      </c>
    </row>
    <row r="75" spans="1:8" x14ac:dyDescent="0.25">
      <c r="A75" s="69" t="s">
        <v>394</v>
      </c>
      <c r="B75" s="72">
        <v>0</v>
      </c>
      <c r="C75" s="71">
        <v>0</v>
      </c>
      <c r="D75" s="71">
        <v>0</v>
      </c>
      <c r="E75" s="71">
        <v>0</v>
      </c>
      <c r="F75" s="71">
        <v>0</v>
      </c>
      <c r="G75" s="72">
        <f>D75-E75</f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 t="shared" ref="B77:G77" si="16">B43+B9</f>
        <v>64670785.169999994</v>
      </c>
      <c r="C77" s="73">
        <f t="shared" si="16"/>
        <v>14688088.970000001</v>
      </c>
      <c r="D77" s="73">
        <f t="shared" si="16"/>
        <v>79358874.139999986</v>
      </c>
      <c r="E77" s="73">
        <f t="shared" si="16"/>
        <v>13615895.959999999</v>
      </c>
      <c r="F77" s="73">
        <f t="shared" si="16"/>
        <v>13605895.959999999</v>
      </c>
      <c r="G77" s="73">
        <f t="shared" si="16"/>
        <v>65742978.179999992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64670785.169999994</v>
      </c>
      <c r="Q2" s="18">
        <f>'Formato 6 c)'!C9</f>
        <v>14688088.970000001</v>
      </c>
      <c r="R2" s="18">
        <f>'Formato 6 c)'!D9</f>
        <v>79358874.139999986</v>
      </c>
      <c r="S2" s="18">
        <f>'Formato 6 c)'!E9</f>
        <v>13615895.959999999</v>
      </c>
      <c r="T2" s="18">
        <f>'Formato 6 c)'!F9</f>
        <v>13605895.959999999</v>
      </c>
      <c r="U2" s="18">
        <f>'Formato 6 c)'!G9</f>
        <v>65742978.179999992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34328734.68</v>
      </c>
      <c r="Q3" s="18">
        <f>'Formato 6 c)'!C10</f>
        <v>6026105.29</v>
      </c>
      <c r="R3" s="18">
        <f>'Formato 6 c)'!D10</f>
        <v>40354839.969999999</v>
      </c>
      <c r="S3" s="18">
        <f>'Formato 6 c)'!E10</f>
        <v>7393482.3399999999</v>
      </c>
      <c r="T3" s="18">
        <f>'Formato 6 c)'!F10</f>
        <v>7393482.3399999999</v>
      </c>
      <c r="U3" s="18">
        <f>'Formato 6 c)'!G10</f>
        <v>32961357.630000003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0</v>
      </c>
      <c r="Q4" s="18">
        <f>'Formato 6 c)'!C11</f>
        <v>8000</v>
      </c>
      <c r="R4" s="18">
        <f>'Formato 6 c)'!D11</f>
        <v>8000</v>
      </c>
      <c r="S4" s="18">
        <f>'Formato 6 c)'!E11</f>
        <v>0</v>
      </c>
      <c r="T4" s="18">
        <f>'Formato 6 c)'!F11</f>
        <v>0</v>
      </c>
      <c r="U4" s="18">
        <f>'Formato 6 c)'!G11</f>
        <v>8000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14771750.990000002</v>
      </c>
      <c r="Q6" s="18">
        <f>'Formato 6 c)'!C13</f>
        <v>1948156.5599999998</v>
      </c>
      <c r="R6" s="18">
        <f>'Formato 6 c)'!D13</f>
        <v>16719907.550000003</v>
      </c>
      <c r="S6" s="18">
        <f>'Formato 6 c)'!E13</f>
        <v>3204224.4000000008</v>
      </c>
      <c r="T6" s="18">
        <f>'Formato 6 c)'!F13</f>
        <v>3204224.4000000008</v>
      </c>
      <c r="U6" s="18">
        <f>'Formato 6 c)'!G13</f>
        <v>13515683.150000002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2256205.29</v>
      </c>
      <c r="Q8" s="18">
        <f>'Formato 6 c)'!C15</f>
        <v>244369.74000000002</v>
      </c>
      <c r="R8" s="18">
        <f>'Formato 6 c)'!D15</f>
        <v>2500575.0300000003</v>
      </c>
      <c r="S8" s="18">
        <f>'Formato 6 c)'!E15</f>
        <v>577323.08000000007</v>
      </c>
      <c r="T8" s="18">
        <f>'Formato 6 c)'!F15</f>
        <v>577323.08000000007</v>
      </c>
      <c r="U8" s="18">
        <f>'Formato 6 c)'!G15</f>
        <v>1923251.9500000002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7519113.0999999987</v>
      </c>
      <c r="Q10" s="18">
        <f>'Formato 6 c)'!C17</f>
        <v>1526120.57</v>
      </c>
      <c r="R10" s="18">
        <f>'Formato 6 c)'!D17</f>
        <v>9045233.6699999981</v>
      </c>
      <c r="S10" s="18">
        <f>'Formato 6 c)'!E17</f>
        <v>1213265.1600000001</v>
      </c>
      <c r="T10" s="18">
        <f>'Formato 6 c)'!F17</f>
        <v>1213265.1600000001</v>
      </c>
      <c r="U10" s="18">
        <f>'Formato 6 c)'!G17</f>
        <v>7831968.5099999979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9781665.3000000026</v>
      </c>
      <c r="Q11" s="18">
        <f>'Formato 6 c)'!C18</f>
        <v>2299458.42</v>
      </c>
      <c r="R11" s="18">
        <f>'Formato 6 c)'!D18</f>
        <v>12081123.720000003</v>
      </c>
      <c r="S11" s="18">
        <f>'Formato 6 c)'!E18</f>
        <v>2398669.6999999997</v>
      </c>
      <c r="T11" s="18">
        <f>'Formato 6 c)'!F18</f>
        <v>2398669.6999999997</v>
      </c>
      <c r="U11" s="18">
        <f>'Formato 6 c)'!G18</f>
        <v>9682454.0200000033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28625611.529999997</v>
      </c>
      <c r="Q12" s="18">
        <f>'Formato 6 c)'!C19</f>
        <v>6844001.6100000003</v>
      </c>
      <c r="R12" s="18">
        <f>'Formato 6 c)'!D19</f>
        <v>35469613.139999993</v>
      </c>
      <c r="S12" s="18">
        <f>'Formato 6 c)'!E19</f>
        <v>5886315.7799999993</v>
      </c>
      <c r="T12" s="18">
        <f>'Formato 6 c)'!F19</f>
        <v>5876315.7799999993</v>
      </c>
      <c r="U12" s="18">
        <f>'Formato 6 c)'!G19</f>
        <v>29583297.359999996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393354.26</v>
      </c>
      <c r="Q13" s="18">
        <f>'Formato 6 c)'!C20</f>
        <v>79879.260000000009</v>
      </c>
      <c r="R13" s="18">
        <f>'Formato 6 c)'!D20</f>
        <v>473233.52</v>
      </c>
      <c r="S13" s="18">
        <f>'Formato 6 c)'!E20</f>
        <v>81537.56</v>
      </c>
      <c r="T13" s="18">
        <f>'Formato 6 c)'!F20</f>
        <v>81537.56</v>
      </c>
      <c r="U13" s="18">
        <f>'Formato 6 c)'!G20</f>
        <v>391695.96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24223886.849999994</v>
      </c>
      <c r="Q14" s="18">
        <f>'Formato 6 c)'!C21</f>
        <v>5806529.8600000003</v>
      </c>
      <c r="R14" s="18">
        <f>'Formato 6 c)'!D21</f>
        <v>30030416.709999993</v>
      </c>
      <c r="S14" s="18">
        <f>'Formato 6 c)'!E21</f>
        <v>5347814.2</v>
      </c>
      <c r="T14" s="18">
        <f>'Formato 6 c)'!F21</f>
        <v>5347814.2</v>
      </c>
      <c r="U14" s="18">
        <f>'Formato 6 c)'!G21</f>
        <v>24682602.509999994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2787817.62</v>
      </c>
      <c r="Q16" s="18">
        <f>'Formato 6 c)'!C23</f>
        <v>527842.92000000016</v>
      </c>
      <c r="R16" s="18">
        <f>'Formato 6 c)'!D23</f>
        <v>3315660.54</v>
      </c>
      <c r="S16" s="18">
        <f>'Formato 6 c)'!E23</f>
        <v>341932.46</v>
      </c>
      <c r="T16" s="18">
        <f>'Formato 6 c)'!F23</f>
        <v>331932.46000000002</v>
      </c>
      <c r="U16" s="18">
        <f>'Formato 6 c)'!G23</f>
        <v>2973728.08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1220552.8</v>
      </c>
      <c r="Q17" s="18">
        <f>'Formato 6 c)'!C24</f>
        <v>429749.57</v>
      </c>
      <c r="R17" s="18">
        <f>'Formato 6 c)'!D24</f>
        <v>1650302.37</v>
      </c>
      <c r="S17" s="18">
        <f>'Formato 6 c)'!E24</f>
        <v>115031.56</v>
      </c>
      <c r="T17" s="18">
        <f>'Formato 6 c)'!F24</f>
        <v>115031.56</v>
      </c>
      <c r="U17" s="18">
        <f>'Formato 6 c)'!G24</f>
        <v>1535270.81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1716438.96</v>
      </c>
      <c r="Q20" s="18">
        <f>'Formato 6 c)'!C27</f>
        <v>1817982.07</v>
      </c>
      <c r="R20" s="18">
        <f>'Formato 6 c)'!D27</f>
        <v>3534421.0300000003</v>
      </c>
      <c r="S20" s="18">
        <f>'Formato 6 c)'!E27</f>
        <v>336097.83999999997</v>
      </c>
      <c r="T20" s="18">
        <f>'Formato 6 c)'!F27</f>
        <v>336097.83999999997</v>
      </c>
      <c r="U20" s="18">
        <f>'Formato 6 c)'!G27</f>
        <v>3198323.19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772743.84000000008</v>
      </c>
      <c r="Q22" s="18">
        <f>'Formato 6 c)'!C29</f>
        <v>880702.81</v>
      </c>
      <c r="R22" s="18">
        <f>'Formato 6 c)'!D29</f>
        <v>1653446.6500000001</v>
      </c>
      <c r="S22" s="18">
        <f>'Formato 6 c)'!E29</f>
        <v>185911.34</v>
      </c>
      <c r="T22" s="18">
        <f>'Formato 6 c)'!F29</f>
        <v>185911.34</v>
      </c>
      <c r="U22" s="18">
        <f>'Formato 6 c)'!G29</f>
        <v>1467535.31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943695.11999999988</v>
      </c>
      <c r="Q29" s="18">
        <f>'Formato 6 c)'!C36</f>
        <v>937279.26</v>
      </c>
      <c r="R29" s="18">
        <f>'Formato 6 c)'!D36</f>
        <v>1880974.38</v>
      </c>
      <c r="S29" s="18">
        <f>'Formato 6 c)'!E36</f>
        <v>150186.5</v>
      </c>
      <c r="T29" s="18">
        <f>'Formato 6 c)'!F36</f>
        <v>150186.5</v>
      </c>
      <c r="U29" s="18">
        <f>'Formato 6 c)'!G36</f>
        <v>1730787.88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>IF(LEN(CLEAN(B68))=0,"0",B68)&amp;","&amp;IF(LEN(CLEAN(C68))=0,"0",C68)&amp;","&amp;IF(LEN(CLEAN(D68))=0,"0",D68)&amp;","&amp;IF(LEN(CLEAN(E68))=0,"0",E68)&amp;","&amp;IF(LEN(CLEAN(F68))=0,"0",F68)&amp;","&amp;IF(LEN(CLEAN(G68))=0,"0",G68)&amp;","&amp;IF(LEN(CLEAN(H68))=0,"0",H68)</f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64670785.169999994</v>
      </c>
      <c r="Q68" s="18">
        <f>'Formato 6 c)'!C77</f>
        <v>14688088.970000001</v>
      </c>
      <c r="R68" s="18">
        <f>'Formato 6 c)'!D77</f>
        <v>79358874.139999986</v>
      </c>
      <c r="S68" s="18">
        <f>'Formato 6 c)'!E77</f>
        <v>13615895.959999999</v>
      </c>
      <c r="T68" s="18">
        <f>'Formato 6 c)'!F77</f>
        <v>13605895.959999999</v>
      </c>
      <c r="U68" s="18">
        <f>'Formato 6 c)'!G77</f>
        <v>65742978.179999992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821</v>
      </c>
    </row>
    <row r="6" spans="2:3" x14ac:dyDescent="0.25">
      <c r="B6" t="s">
        <v>784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Municipio de Santa Catarina, Gobierno del Estado de Guanajuato</v>
      </c>
    </row>
    <row r="7" spans="2:3" x14ac:dyDescent="0.25">
      <c r="C7" t="str">
        <f>CONCATENATE(ENTE_PUBLICO," (a)")</f>
        <v>Municipio de Santa Catarina, Gobierno del Estado de Guanajuato (a)</v>
      </c>
    </row>
    <row r="8" spans="2:3" ht="27" customHeight="1" x14ac:dyDescent="0.25">
      <c r="B8" t="s">
        <v>787</v>
      </c>
      <c r="C8" s="24" t="s">
        <v>799</v>
      </c>
    </row>
    <row r="10" spans="2:3" ht="25.5" customHeight="1" x14ac:dyDescent="0.25">
      <c r="B10" t="s">
        <v>788</v>
      </c>
      <c r="C10" s="24" t="s">
        <v>1153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Santa Catarina, Gobierno del Estado de Guanajuato</v>
      </c>
    </row>
    <row r="12" spans="2:3" x14ac:dyDescent="0.25">
      <c r="B12" t="s">
        <v>786</v>
      </c>
      <c r="C12" s="24">
        <v>2022</v>
      </c>
    </row>
    <row r="14" spans="2:3" x14ac:dyDescent="0.25">
      <c r="B14" t="s">
        <v>785</v>
      </c>
      <c r="C14" s="24" t="s">
        <v>3294</v>
      </c>
    </row>
    <row r="15" spans="2:3" x14ac:dyDescent="0.25">
      <c r="C15" s="24">
        <v>1</v>
      </c>
    </row>
    <row r="16" spans="2:3" x14ac:dyDescent="0.25">
      <c r="C16" s="24" t="s">
        <v>3295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2022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2022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2022 (m = g – l)</v>
      </c>
    </row>
    <row r="20" spans="4:9" ht="60" x14ac:dyDescent="0.25">
      <c r="D20" s="21" t="str">
        <f>CONCATENATE(ANIO_INFORME, " (d)")</f>
        <v>2022 (d)</v>
      </c>
      <c r="E20" s="22" t="str">
        <f>CONCATENATE("31 de diciembre de ",ANIO_INFORME-1, " (e)")</f>
        <v>31 de diciembre de 2021 (e)</v>
      </c>
      <c r="F20" s="31" t="str">
        <f>CONCATENATE("Saldo al 31 de diciembre de ",ANIO_INFORME-1, " (d)")</f>
        <v>Saldo al 31 de diciembre de 2021 (d)</v>
      </c>
    </row>
    <row r="23" spans="4:9" x14ac:dyDescent="0.25">
      <c r="D23" s="33">
        <f>ANIO_INFORME + 1</f>
        <v>2023</v>
      </c>
      <c r="E23" s="34" t="str">
        <f>CONCATENATE(ANIO_INFORME + 2, " (d)")</f>
        <v>2024 (d)</v>
      </c>
      <c r="F23" s="34" t="str">
        <f>CONCATENATE(ANIO_INFORME + 3, " (d)")</f>
        <v>2025 (d)</v>
      </c>
      <c r="G23" s="34" t="str">
        <f>CONCATENATE(ANIO_INFORME + 4, " (d)")</f>
        <v>2026 (d)</v>
      </c>
      <c r="H23" s="34" t="str">
        <f>CONCATENATE(ANIO_INFORME + 5, " (d)")</f>
        <v>2027 (d)</v>
      </c>
      <c r="I23" s="34" t="str">
        <f>CONCATENATE(ANIO_INFORME + 6, " (d)")</f>
        <v>2028 (d)</v>
      </c>
    </row>
    <row r="25" spans="4:9" x14ac:dyDescent="0.25">
      <c r="D25" s="35" t="str">
        <f>CONCATENATE(ANIO_INFORME - 5, " ",CHAR(185)," (c)")</f>
        <v>2017 ¹ (c)</v>
      </c>
      <c r="E25" s="35" t="str">
        <f>CONCATENATE(ANIO_INFORME - 4, " ",CHAR(185)," (c)")</f>
        <v>2018 ¹ (c)</v>
      </c>
      <c r="F25" s="35" t="str">
        <f>CONCATENATE(ANIO_INFORME - 3, " ",CHAR(185)," (c)")</f>
        <v>2019 ¹ (c)</v>
      </c>
      <c r="G25" s="35" t="str">
        <f>CONCATENATE(ANIO_INFORME - 2, " ",CHAR(185)," (c)")</f>
        <v>2020 ¹ (c)</v>
      </c>
      <c r="H25" s="35" t="str">
        <f>CONCATENATE(ANIO_INFORME - 1, " ",CHAR(185)," (c)")</f>
        <v>2021 ¹ (c)</v>
      </c>
      <c r="I25" s="33">
        <f>ANIO_INFORME</f>
        <v>2022</v>
      </c>
    </row>
    <row r="26" spans="4:9" x14ac:dyDescent="0.25">
      <c r="D26" s="92"/>
    </row>
    <row r="29" spans="4:9" x14ac:dyDescent="0.25">
      <c r="D29" t="s">
        <v>3135</v>
      </c>
      <c r="E29" t="s">
        <v>3136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3137</v>
      </c>
      <c r="E32" t="s">
        <v>3138</v>
      </c>
    </row>
    <row r="33" spans="4:5" x14ac:dyDescent="0.25">
      <c r="D33" s="141">
        <v>36526</v>
      </c>
      <c r="E33" s="141">
        <v>55153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B32" sqref="B3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3279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ENTE_PUBLICO_A</f>
        <v>Municipio de Santa Catarina,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x14ac:dyDescent="0.25">
      <c r="A5" s="159" t="str">
        <f>TRIMESTRE</f>
        <v>Del 1 de enero al 30 de marzo de 2022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x14ac:dyDescent="0.25">
      <c r="A9" s="52" t="s">
        <v>400</v>
      </c>
      <c r="B9" s="66">
        <f t="shared" ref="B9:G9" si="0">SUM(B10,B11,B12,B15,B16,B19)</f>
        <v>35760714.569999985</v>
      </c>
      <c r="C9" s="66">
        <f t="shared" si="0"/>
        <v>3086198.2500000009</v>
      </c>
      <c r="D9" s="66">
        <f t="shared" si="0"/>
        <v>38846912.819999985</v>
      </c>
      <c r="E9" s="66">
        <f t="shared" si="0"/>
        <v>5829766.6399999987</v>
      </c>
      <c r="F9" s="66">
        <f t="shared" si="0"/>
        <v>5829766.6399999987</v>
      </c>
      <c r="G9" s="66">
        <f t="shared" si="0"/>
        <v>33017146.179999985</v>
      </c>
    </row>
    <row r="10" spans="1:7" x14ac:dyDescent="0.25">
      <c r="A10" s="53" t="s">
        <v>401</v>
      </c>
      <c r="B10" s="67">
        <v>35760714.569999985</v>
      </c>
      <c r="C10" s="67">
        <v>3086198.2500000009</v>
      </c>
      <c r="D10" s="67">
        <v>38846912.819999985</v>
      </c>
      <c r="E10" s="67">
        <v>5829766.6399999987</v>
      </c>
      <c r="F10" s="67">
        <v>5829766.6399999987</v>
      </c>
      <c r="G10" s="67">
        <f>D10-E10</f>
        <v>33017146.179999985</v>
      </c>
    </row>
    <row r="11" spans="1:7" x14ac:dyDescent="0.2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x14ac:dyDescent="0.25">
      <c r="A12" s="53" t="s">
        <v>403</v>
      </c>
      <c r="B12" s="67">
        <f t="shared" ref="B12:G12" si="1">B13+B14</f>
        <v>0</v>
      </c>
      <c r="C12" s="67">
        <f t="shared" si="1"/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 t="shared" si="1"/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>D15-E15</f>
        <v>0</v>
      </c>
    </row>
    <row r="16" spans="1:7" x14ac:dyDescent="0.25">
      <c r="A16" s="64" t="s">
        <v>407</v>
      </c>
      <c r="B16" s="67">
        <f t="shared" ref="B16:G16" si="2">B17+B18</f>
        <v>0</v>
      </c>
      <c r="C16" s="67">
        <f t="shared" si="2"/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 t="shared" ref="B21:G21" si="3">SUM(B22,B23,B24,B27,B28,B31)</f>
        <v>0</v>
      </c>
      <c r="C21" s="66">
        <f t="shared" si="3"/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 t="shared" si="3"/>
        <v>0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 t="shared" ref="B24:G24" si="4">B25+B26</f>
        <v>0</v>
      </c>
      <c r="C24" s="67">
        <f t="shared" si="4"/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>D27-E27</f>
        <v>0</v>
      </c>
    </row>
    <row r="28" spans="1:7" s="24" customFormat="1" x14ac:dyDescent="0.25">
      <c r="A28" s="64" t="s">
        <v>407</v>
      </c>
      <c r="B28" s="67">
        <f t="shared" ref="B28:G28" si="5">B29+B30</f>
        <v>0</v>
      </c>
      <c r="C28" s="67">
        <f t="shared" si="5"/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>D31-E31</f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 t="shared" ref="B33:G33" si="6">B21+B9</f>
        <v>35760714.569999985</v>
      </c>
      <c r="C33" s="66">
        <f t="shared" si="6"/>
        <v>3086198.2500000009</v>
      </c>
      <c r="D33" s="66">
        <f t="shared" si="6"/>
        <v>38846912.819999985</v>
      </c>
      <c r="E33" s="66">
        <f t="shared" si="6"/>
        <v>5829766.6399999987</v>
      </c>
      <c r="F33" s="66">
        <f t="shared" si="6"/>
        <v>5829766.6399999987</v>
      </c>
      <c r="G33" s="66">
        <f t="shared" si="6"/>
        <v>33017146.179999985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35760714.569999985</v>
      </c>
      <c r="Q2" s="18">
        <f>'Formato 6 d)'!C9</f>
        <v>3086198.2500000009</v>
      </c>
      <c r="R2" s="18">
        <f>'Formato 6 d)'!D9</f>
        <v>38846912.819999985</v>
      </c>
      <c r="S2" s="18">
        <f>'Formato 6 d)'!E9</f>
        <v>5829766.6399999987</v>
      </c>
      <c r="T2" s="18">
        <f>'Formato 6 d)'!F9</f>
        <v>5829766.6399999987</v>
      </c>
      <c r="U2" s="18">
        <f>'Formato 6 d)'!G9</f>
        <v>33017146.179999985</v>
      </c>
    </row>
    <row r="3" spans="1:25" x14ac:dyDescent="0.25">
      <c r="A3" s="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35760714.569999985</v>
      </c>
      <c r="Q3" s="18">
        <f>'Formato 6 d)'!C10</f>
        <v>3086198.2500000009</v>
      </c>
      <c r="R3" s="18">
        <f>'Formato 6 d)'!D10</f>
        <v>38846912.819999985</v>
      </c>
      <c r="S3" s="18">
        <f>'Formato 6 d)'!E10</f>
        <v>5829766.6399999987</v>
      </c>
      <c r="T3" s="18">
        <f>'Formato 6 d)'!F10</f>
        <v>5829766.6399999987</v>
      </c>
      <c r="U3" s="18">
        <f>'Formato 6 d)'!G10</f>
        <v>33017146.179999985</v>
      </c>
      <c r="V3" s="18"/>
    </row>
    <row r="4" spans="1:25" x14ac:dyDescent="0.25">
      <c r="A4" s="3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>IF(LEN(CLEAN(B6))=0,"0",B6)&amp;","&amp;IF(LEN(CLEAN(C6))=0,"0",C6)&amp;","&amp;IF(LEN(CLEAN(D6))=0,"0",D6)&amp;","&amp;IF(LEN(CLEAN(E6))=0,"0",E6)&amp;","&amp;IF(LEN(CLEAN(F6))=0,"0",F6)&amp;","&amp;IF(LEN(CLEAN(G6))=0,"0",G6)&amp;","&amp;IF(LEN(CLEAN(H6))=0,"0",H6)</f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0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0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0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0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0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0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0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25">
      <c r="A14" t="str">
        <f t="shared" si="0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0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0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0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0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0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0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0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0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0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0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35760714.569999985</v>
      </c>
      <c r="Q24" s="18">
        <f>'Formato 6 d)'!C33</f>
        <v>3086198.2500000009</v>
      </c>
      <c r="R24" s="18">
        <f>'Formato 6 d)'!D33</f>
        <v>38846912.819999985</v>
      </c>
      <c r="S24" s="18">
        <f>'Formato 6 d)'!E33</f>
        <v>5829766.6399999987</v>
      </c>
      <c r="T24" s="18">
        <f>'Formato 6 d)'!F33</f>
        <v>5829766.6399999987</v>
      </c>
      <c r="U24" s="18">
        <f>'Formato 6 d)'!G33</f>
        <v>33017146.179999985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B1" zoomScale="85" zoomScaleNormal="85" zoomScalePageLayoutView="90" workbookViewId="0">
      <selection activeCell="F6" activeCellId="1" sqref="G6:G7 F6:F7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71" t="s">
        <v>413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Municipio de Santa Catarina,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414</v>
      </c>
      <c r="B3" s="157"/>
      <c r="C3" s="157"/>
      <c r="D3" s="157"/>
      <c r="E3" s="157"/>
      <c r="F3" s="157"/>
      <c r="G3" s="158"/>
    </row>
    <row r="4" spans="1:7" x14ac:dyDescent="0.25">
      <c r="A4" s="156" t="s">
        <v>118</v>
      </c>
      <c r="B4" s="157"/>
      <c r="C4" s="157"/>
      <c r="D4" s="157"/>
      <c r="E4" s="157"/>
      <c r="F4" s="157"/>
      <c r="G4" s="158"/>
    </row>
    <row r="5" spans="1:7" x14ac:dyDescent="0.2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3280</v>
      </c>
      <c r="B6" s="51">
        <f>ANIO1P-1</f>
        <v>2022</v>
      </c>
      <c r="C6" s="181">
        <f>B6+1</f>
        <v>2023</v>
      </c>
      <c r="D6" s="181">
        <f>C6+1</f>
        <v>2024</v>
      </c>
      <c r="E6" s="181">
        <f>D6+1</f>
        <v>2025</v>
      </c>
      <c r="F6" s="181">
        <f>E6+1</f>
        <v>2026</v>
      </c>
      <c r="G6" s="181">
        <f>F6+1</f>
        <v>2027</v>
      </c>
    </row>
    <row r="7" spans="1:7" ht="48" customHeight="1" x14ac:dyDescent="0.25">
      <c r="A7" s="169"/>
      <c r="B7" s="88" t="s">
        <v>3283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 t="shared" ref="B8:G8" si="0">SUM(B9:B20)</f>
        <v>50053492.189999998</v>
      </c>
      <c r="C8" s="59">
        <f t="shared" si="0"/>
        <v>52556166.799499996</v>
      </c>
      <c r="D8" s="59">
        <f t="shared" si="0"/>
        <v>55183975.139474995</v>
      </c>
      <c r="E8" s="59">
        <f t="shared" si="0"/>
        <v>57943173.896448754</v>
      </c>
      <c r="F8" s="59">
        <f t="shared" si="0"/>
        <v>60840332.591271192</v>
      </c>
      <c r="G8" s="59">
        <f t="shared" si="0"/>
        <v>63882349.220834754</v>
      </c>
    </row>
    <row r="9" spans="1:7" x14ac:dyDescent="0.25">
      <c r="A9" s="53" t="s">
        <v>216</v>
      </c>
      <c r="B9" s="60">
        <v>1576546.6300000001</v>
      </c>
      <c r="C9" s="60">
        <v>1655373.9615000002</v>
      </c>
      <c r="D9" s="60">
        <v>1738142.6595750004</v>
      </c>
      <c r="E9" s="60">
        <v>1825049.7925537506</v>
      </c>
      <c r="F9" s="60">
        <v>1916302.2821814381</v>
      </c>
      <c r="G9" s="60">
        <v>2012117.39629051</v>
      </c>
    </row>
    <row r="10" spans="1:7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2860746.3799999994</v>
      </c>
      <c r="C12" s="60">
        <v>3003783.6989999996</v>
      </c>
      <c r="D12" s="60">
        <v>3153972.8839499997</v>
      </c>
      <c r="E12" s="60">
        <v>3311671.5281475</v>
      </c>
      <c r="F12" s="60">
        <v>3477255.1045548753</v>
      </c>
      <c r="G12" s="60">
        <v>3651117.8597826194</v>
      </c>
    </row>
    <row r="13" spans="1:7" x14ac:dyDescent="0.25">
      <c r="A13" s="53" t="s">
        <v>220</v>
      </c>
      <c r="B13" s="60">
        <v>38600.119999999995</v>
      </c>
      <c r="C13" s="60">
        <v>40530.125999999997</v>
      </c>
      <c r="D13" s="60">
        <v>42556.632299999997</v>
      </c>
      <c r="E13" s="60">
        <v>44684.463915</v>
      </c>
      <c r="F13" s="60">
        <v>46918.687110750005</v>
      </c>
      <c r="G13" s="60">
        <v>49264.621466287506</v>
      </c>
    </row>
    <row r="14" spans="1:7" x14ac:dyDescent="0.25">
      <c r="A14" s="53" t="s">
        <v>221</v>
      </c>
      <c r="B14" s="60">
        <v>159680.84</v>
      </c>
      <c r="C14" s="60">
        <v>167664.88200000001</v>
      </c>
      <c r="D14" s="60">
        <v>176048.12610000002</v>
      </c>
      <c r="E14" s="60">
        <v>184850.53240500003</v>
      </c>
      <c r="F14" s="60">
        <v>194093.05902525006</v>
      </c>
      <c r="G14" s="60">
        <v>203797.71197651257</v>
      </c>
    </row>
    <row r="15" spans="1:7" x14ac:dyDescent="0.2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418</v>
      </c>
      <c r="B16" s="60">
        <v>44940335</v>
      </c>
      <c r="C16" s="60">
        <v>47187351.75</v>
      </c>
      <c r="D16" s="60">
        <v>49546719.337499999</v>
      </c>
      <c r="E16" s="60">
        <v>52024055.304375</v>
      </c>
      <c r="F16" s="60">
        <v>54625258.06959375</v>
      </c>
      <c r="G16" s="60">
        <v>57356520.973073438</v>
      </c>
    </row>
    <row r="17" spans="1:7" x14ac:dyDescent="0.25">
      <c r="A17" s="10" t="s">
        <v>419</v>
      </c>
      <c r="B17" s="60">
        <v>477583.22</v>
      </c>
      <c r="C17" s="60">
        <v>501462.38099999999</v>
      </c>
      <c r="D17" s="60">
        <v>526535.50005000003</v>
      </c>
      <c r="E17" s="60">
        <v>552862.27505250007</v>
      </c>
      <c r="F17" s="60">
        <v>580505.38880512514</v>
      </c>
      <c r="G17" s="60">
        <v>609530.65824538143</v>
      </c>
    </row>
    <row r="18" spans="1:7" x14ac:dyDescent="0.2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 t="shared" ref="B22:G22" si="1">SUM(B23:B27)</f>
        <v>12474706</v>
      </c>
      <c r="C22" s="61">
        <f t="shared" si="1"/>
        <v>13098441.300000001</v>
      </c>
      <c r="D22" s="61">
        <f t="shared" si="1"/>
        <v>13753363.365000002</v>
      </c>
      <c r="E22" s="61">
        <f t="shared" si="1"/>
        <v>14441031.533250002</v>
      </c>
      <c r="F22" s="61">
        <f t="shared" si="1"/>
        <v>15163083.109912504</v>
      </c>
      <c r="G22" s="61">
        <f t="shared" si="1"/>
        <v>15921237.265408128</v>
      </c>
    </row>
    <row r="23" spans="1:7" x14ac:dyDescent="0.25">
      <c r="A23" s="53" t="s">
        <v>423</v>
      </c>
      <c r="B23" s="60">
        <v>12474706</v>
      </c>
      <c r="C23" s="60">
        <v>13098441.300000001</v>
      </c>
      <c r="D23" s="60">
        <v>13753363.365000002</v>
      </c>
      <c r="E23" s="60">
        <v>14441031.533250002</v>
      </c>
      <c r="F23" s="60">
        <v>15163083.109912504</v>
      </c>
      <c r="G23" s="60">
        <v>15921237.265408128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 t="shared" ref="B29:G29" si="2">B30</f>
        <v>0</v>
      </c>
      <c r="C29" s="61">
        <f t="shared" si="2"/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 t="shared" ref="B32:G32" si="3">B29+B22+B8</f>
        <v>62528198.189999998</v>
      </c>
      <c r="C32" s="61">
        <f t="shared" si="3"/>
        <v>65654608.0995</v>
      </c>
      <c r="D32" s="61">
        <f t="shared" si="3"/>
        <v>68937338.504474998</v>
      </c>
      <c r="E32" s="61">
        <f t="shared" si="3"/>
        <v>72384205.42969875</v>
      </c>
      <c r="F32" s="61">
        <f t="shared" si="3"/>
        <v>76003415.701183692</v>
      </c>
      <c r="G32" s="61">
        <f t="shared" si="3"/>
        <v>79803586.48624289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 t="shared" ref="B37:G37" si="4">B36+B35</f>
        <v>0</v>
      </c>
      <c r="C37" s="61">
        <f t="shared" si="4"/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 t="shared" si="4"/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50053492.189999998</v>
      </c>
      <c r="Q2" s="18">
        <f>'Formato 7 a)'!C8</f>
        <v>52556166.799499996</v>
      </c>
      <c r="R2" s="18">
        <f>'Formato 7 a)'!D8</f>
        <v>55183975.139474995</v>
      </c>
      <c r="S2" s="18">
        <f>'Formato 7 a)'!E8</f>
        <v>57943173.896448754</v>
      </c>
      <c r="T2" s="18">
        <f>'Formato 7 a)'!F8</f>
        <v>60840332.591271192</v>
      </c>
      <c r="U2" s="18">
        <f>'Formato 7 a)'!G8</f>
        <v>63882349.220834754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1576546.6300000001</v>
      </c>
      <c r="Q3" s="18">
        <f>'Formato 7 a)'!C9</f>
        <v>1655373.9615000002</v>
      </c>
      <c r="R3" s="18">
        <f>'Formato 7 a)'!D9</f>
        <v>1738142.6595750004</v>
      </c>
      <c r="S3" s="18">
        <f>'Formato 7 a)'!E9</f>
        <v>1825049.7925537506</v>
      </c>
      <c r="T3" s="18">
        <f>'Formato 7 a)'!F9</f>
        <v>1916302.2821814381</v>
      </c>
      <c r="U3" s="18">
        <f>'Formato 7 a)'!G9</f>
        <v>2012117.39629051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2860746.3799999994</v>
      </c>
      <c r="Q6" s="18">
        <f>'Formato 7 a)'!C12</f>
        <v>3003783.6989999996</v>
      </c>
      <c r="R6" s="18">
        <f>'Formato 7 a)'!D12</f>
        <v>3153972.8839499997</v>
      </c>
      <c r="S6" s="18">
        <f>'Formato 7 a)'!E12</f>
        <v>3311671.5281475</v>
      </c>
      <c r="T6" s="18">
        <f>'Formato 7 a)'!F12</f>
        <v>3477255.1045548753</v>
      </c>
      <c r="U6" s="18">
        <f>'Formato 7 a)'!G12</f>
        <v>3651117.8597826194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38600.119999999995</v>
      </c>
      <c r="Q7" s="18">
        <f>'Formato 7 a)'!C13</f>
        <v>40530.125999999997</v>
      </c>
      <c r="R7" s="18">
        <f>'Formato 7 a)'!D13</f>
        <v>42556.632299999997</v>
      </c>
      <c r="S7" s="18">
        <f>'Formato 7 a)'!E13</f>
        <v>44684.463915</v>
      </c>
      <c r="T7" s="18">
        <f>'Formato 7 a)'!F13</f>
        <v>46918.687110750005</v>
      </c>
      <c r="U7" s="18">
        <f>'Formato 7 a)'!G13</f>
        <v>49264.621466287506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159680.84</v>
      </c>
      <c r="Q8" s="18">
        <f>'Formato 7 a)'!C14</f>
        <v>167664.88200000001</v>
      </c>
      <c r="R8" s="18">
        <f>'Formato 7 a)'!D14</f>
        <v>176048.12610000002</v>
      </c>
      <c r="S8" s="18">
        <f>'Formato 7 a)'!E14</f>
        <v>184850.53240500003</v>
      </c>
      <c r="T8" s="18">
        <f>'Formato 7 a)'!F14</f>
        <v>194093.05902525006</v>
      </c>
      <c r="U8" s="18">
        <f>'Formato 7 a)'!G14</f>
        <v>203797.71197651257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44940335</v>
      </c>
      <c r="Q10" s="18">
        <f>'Formato 7 a)'!C16</f>
        <v>47187351.75</v>
      </c>
      <c r="R10" s="18">
        <f>'Formato 7 a)'!D16</f>
        <v>49546719.337499999</v>
      </c>
      <c r="S10" s="18">
        <f>'Formato 7 a)'!E16</f>
        <v>52024055.304375</v>
      </c>
      <c r="T10" s="18">
        <f>'Formato 7 a)'!F16</f>
        <v>54625258.06959375</v>
      </c>
      <c r="U10" s="18">
        <f>'Formato 7 a)'!G16</f>
        <v>57356520.973073438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477583.22</v>
      </c>
      <c r="Q11" s="18">
        <f>'Formato 7 a)'!C17</f>
        <v>501462.38099999999</v>
      </c>
      <c r="R11" s="18">
        <f>'Formato 7 a)'!D17</f>
        <v>526535.50005000003</v>
      </c>
      <c r="S11" s="18">
        <f>'Formato 7 a)'!E17</f>
        <v>552862.27505250007</v>
      </c>
      <c r="T11" s="18">
        <f>'Formato 7 a)'!F17</f>
        <v>580505.38880512514</v>
      </c>
      <c r="U11" s="18">
        <f>'Formato 7 a)'!G17</f>
        <v>609530.65824538143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12474706</v>
      </c>
      <c r="Q15" s="18">
        <f>'Formato 7 a)'!C22</f>
        <v>13098441.300000001</v>
      </c>
      <c r="R15" s="18">
        <f>'Formato 7 a)'!D22</f>
        <v>13753363.365000002</v>
      </c>
      <c r="S15" s="18">
        <f>'Formato 7 a)'!E22</f>
        <v>14441031.533250002</v>
      </c>
      <c r="T15" s="18">
        <f>'Formato 7 a)'!F22</f>
        <v>15163083.109912504</v>
      </c>
      <c r="U15" s="18">
        <f>'Formato 7 a)'!G22</f>
        <v>15921237.265408128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12474706</v>
      </c>
      <c r="Q16" s="18">
        <f>'Formato 7 a)'!C23</f>
        <v>13098441.300000001</v>
      </c>
      <c r="R16" s="18">
        <f>'Formato 7 a)'!D23</f>
        <v>13753363.365000002</v>
      </c>
      <c r="S16" s="18">
        <f>'Formato 7 a)'!E23</f>
        <v>14441031.533250002</v>
      </c>
      <c r="T16" s="18">
        <f>'Formato 7 a)'!F23</f>
        <v>15163083.109912504</v>
      </c>
      <c r="U16" s="18">
        <f>'Formato 7 a)'!G23</f>
        <v>15921237.265408128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62528198.189999998</v>
      </c>
      <c r="Q23" s="18">
        <f>'Formato 7 a)'!C32</f>
        <v>65654608.0995</v>
      </c>
      <c r="R23" s="18">
        <f>'Formato 7 a)'!D32</f>
        <v>68937338.504474998</v>
      </c>
      <c r="S23" s="18">
        <f>'Formato 7 a)'!E32</f>
        <v>72384205.42969875</v>
      </c>
      <c r="T23" s="18">
        <f>'Formato 7 a)'!F32</f>
        <v>76003415.701183692</v>
      </c>
      <c r="U23" s="18">
        <f>'Formato 7 a)'!G32</f>
        <v>79803586.48624289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topLeftCell="B1" zoomScale="90" zoomScaleNormal="90" workbookViewId="0">
      <selection activeCell="G8" sqref="G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71" t="s">
        <v>443</v>
      </c>
      <c r="B1" s="171"/>
      <c r="C1" s="171"/>
      <c r="D1" s="171"/>
      <c r="E1" s="171"/>
      <c r="F1" s="171"/>
      <c r="G1" s="171"/>
    </row>
    <row r="2" spans="1:7" customFormat="1" x14ac:dyDescent="0.25">
      <c r="A2" s="153" t="str">
        <f>ENTIDAD</f>
        <v>Municipio de Santa Catarina, Gobierno del Estado de Guanajuato</v>
      </c>
      <c r="B2" s="154"/>
      <c r="C2" s="154"/>
      <c r="D2" s="154"/>
      <c r="E2" s="154"/>
      <c r="F2" s="154"/>
      <c r="G2" s="155"/>
    </row>
    <row r="3" spans="1:7" customFormat="1" x14ac:dyDescent="0.25">
      <c r="A3" s="156" t="s">
        <v>444</v>
      </c>
      <c r="B3" s="157"/>
      <c r="C3" s="157"/>
      <c r="D3" s="157"/>
      <c r="E3" s="157"/>
      <c r="F3" s="157"/>
      <c r="G3" s="158"/>
    </row>
    <row r="4" spans="1:7" customFormat="1" x14ac:dyDescent="0.25">
      <c r="A4" s="156" t="s">
        <v>118</v>
      </c>
      <c r="B4" s="157"/>
      <c r="C4" s="157"/>
      <c r="D4" s="157"/>
      <c r="E4" s="157"/>
      <c r="F4" s="157"/>
      <c r="G4" s="158"/>
    </row>
    <row r="5" spans="1:7" customFormat="1" x14ac:dyDescent="0.2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3134</v>
      </c>
      <c r="B6" s="51">
        <f>ANIO1P-1</f>
        <v>2022</v>
      </c>
      <c r="C6" s="181">
        <f>B6+1</f>
        <v>2023</v>
      </c>
      <c r="D6" s="181">
        <f>C6+1</f>
        <v>2024</v>
      </c>
      <c r="E6" s="181">
        <f>D6+1</f>
        <v>2025</v>
      </c>
      <c r="F6" s="181">
        <f>E6+1</f>
        <v>2026</v>
      </c>
      <c r="G6" s="181">
        <f>F6+1</f>
        <v>2027</v>
      </c>
    </row>
    <row r="7" spans="1:7" customFormat="1" ht="48" customHeight="1" x14ac:dyDescent="0.25">
      <c r="A7" s="184"/>
      <c r="B7" s="88" t="s">
        <v>3283</v>
      </c>
      <c r="C7" s="182"/>
      <c r="D7" s="182"/>
      <c r="E7" s="182"/>
      <c r="F7" s="182"/>
      <c r="G7" s="182"/>
    </row>
    <row r="8" spans="1:7" x14ac:dyDescent="0.25">
      <c r="A8" s="52" t="s">
        <v>445</v>
      </c>
      <c r="B8" s="59">
        <f t="shared" ref="B8:G8" si="0">SUM(B9:B17)</f>
        <v>64670785.169999994</v>
      </c>
      <c r="C8" s="59">
        <f t="shared" si="0"/>
        <v>67904324.428500012</v>
      </c>
      <c r="D8" s="59">
        <f t="shared" si="0"/>
        <v>71299540.649925023</v>
      </c>
      <c r="E8" s="59">
        <f t="shared" si="0"/>
        <v>74864517.682421267</v>
      </c>
      <c r="F8" s="59">
        <f t="shared" si="0"/>
        <v>78607743.566542327</v>
      </c>
      <c r="G8" s="59">
        <f t="shared" si="0"/>
        <v>82538130.744869456</v>
      </c>
    </row>
    <row r="9" spans="1:7" x14ac:dyDescent="0.25">
      <c r="A9" s="53" t="s">
        <v>446</v>
      </c>
      <c r="B9" s="60">
        <v>35760714.57</v>
      </c>
      <c r="C9" s="60">
        <v>37548750.298500001</v>
      </c>
      <c r="D9" s="60">
        <v>39426187.813425004</v>
      </c>
      <c r="E9" s="60">
        <v>41397497.204096258</v>
      </c>
      <c r="F9" s="60">
        <v>43467372.064301074</v>
      </c>
      <c r="G9" s="60">
        <v>45640740.667516127</v>
      </c>
    </row>
    <row r="10" spans="1:7" x14ac:dyDescent="0.25">
      <c r="A10" s="53" t="s">
        <v>447</v>
      </c>
      <c r="B10" s="60">
        <v>3828723.1799999997</v>
      </c>
      <c r="C10" s="60">
        <v>4020159.3389999997</v>
      </c>
      <c r="D10" s="60">
        <v>4221167.30595</v>
      </c>
      <c r="E10" s="60">
        <v>4432225.6712475</v>
      </c>
      <c r="F10" s="60">
        <v>4653836.9548098752</v>
      </c>
      <c r="G10" s="60">
        <v>4886528.8025503689</v>
      </c>
    </row>
    <row r="11" spans="1:7" x14ac:dyDescent="0.25">
      <c r="A11" s="53" t="s">
        <v>448</v>
      </c>
      <c r="B11" s="60">
        <v>8392720.9100000001</v>
      </c>
      <c r="C11" s="60">
        <v>8812356.9555000011</v>
      </c>
      <c r="D11" s="60">
        <v>9252974.8032750022</v>
      </c>
      <c r="E11" s="60">
        <v>9715623.5434387531</v>
      </c>
      <c r="F11" s="60">
        <v>10201404.720610691</v>
      </c>
      <c r="G11" s="60">
        <v>10711474.956641227</v>
      </c>
    </row>
    <row r="12" spans="1:7" x14ac:dyDescent="0.25">
      <c r="A12" s="53" t="s">
        <v>449</v>
      </c>
      <c r="B12" s="60">
        <v>5990000</v>
      </c>
      <c r="C12" s="60">
        <v>6289500</v>
      </c>
      <c r="D12" s="60">
        <v>6603975</v>
      </c>
      <c r="E12" s="60">
        <v>6934173.75</v>
      </c>
      <c r="F12" s="60">
        <v>7280882.4375</v>
      </c>
      <c r="G12" s="60">
        <v>7644926.5593750002</v>
      </c>
    </row>
    <row r="13" spans="1:7" x14ac:dyDescent="0.25">
      <c r="A13" s="53" t="s">
        <v>450</v>
      </c>
      <c r="B13" s="60">
        <v>235300</v>
      </c>
      <c r="C13" s="60">
        <v>247065</v>
      </c>
      <c r="D13" s="60">
        <v>259418.25</v>
      </c>
      <c r="E13" s="60">
        <v>272389.16250000003</v>
      </c>
      <c r="F13" s="60">
        <v>286008.62062500004</v>
      </c>
      <c r="G13" s="60">
        <v>300309.05165625003</v>
      </c>
    </row>
    <row r="14" spans="1:7" x14ac:dyDescent="0.25">
      <c r="A14" s="53" t="s">
        <v>451</v>
      </c>
      <c r="B14" s="60">
        <v>10164706</v>
      </c>
      <c r="C14" s="60">
        <v>10672941.300000001</v>
      </c>
      <c r="D14" s="60">
        <v>11206588.365000002</v>
      </c>
      <c r="E14" s="60">
        <v>11766917.783250002</v>
      </c>
      <c r="F14" s="60">
        <v>12355263.672412504</v>
      </c>
      <c r="G14" s="60">
        <v>12973026.85603313</v>
      </c>
    </row>
    <row r="15" spans="1:7" x14ac:dyDescent="0.25">
      <c r="A15" s="53" t="s">
        <v>452</v>
      </c>
      <c r="B15" s="60">
        <v>218620.51</v>
      </c>
      <c r="C15" s="60">
        <v>229551.53550000003</v>
      </c>
      <c r="D15" s="60">
        <v>241029.11227500005</v>
      </c>
      <c r="E15" s="60">
        <v>253080.56788875005</v>
      </c>
      <c r="F15" s="60">
        <v>265734.59628318757</v>
      </c>
      <c r="G15" s="60">
        <v>279021.32609734696</v>
      </c>
    </row>
    <row r="16" spans="1:7" x14ac:dyDescent="0.25">
      <c r="A16" s="53" t="s">
        <v>453</v>
      </c>
      <c r="B16" s="60">
        <v>80000</v>
      </c>
      <c r="C16" s="60">
        <v>84000</v>
      </c>
      <c r="D16" s="60">
        <v>88200</v>
      </c>
      <c r="E16" s="60">
        <v>92610</v>
      </c>
      <c r="F16" s="60">
        <v>97240.5</v>
      </c>
      <c r="G16" s="60">
        <v>102102.52500000001</v>
      </c>
    </row>
    <row r="17" spans="1:7" x14ac:dyDescent="0.25">
      <c r="A17" s="53" t="s">
        <v>454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455</v>
      </c>
      <c r="B19" s="61">
        <f t="shared" ref="B19:G19" si="1">SUM(B20:B28)</f>
        <v>0</v>
      </c>
      <c r="C19" s="61">
        <f t="shared" si="1"/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446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447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448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449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452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456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454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457</v>
      </c>
      <c r="B30" s="61">
        <f t="shared" ref="B30:G30" si="2">B8+B19</f>
        <v>64670785.169999994</v>
      </c>
      <c r="C30" s="61">
        <f t="shared" si="2"/>
        <v>67904324.428500012</v>
      </c>
      <c r="D30" s="61">
        <f t="shared" si="2"/>
        <v>71299540.649925023</v>
      </c>
      <c r="E30" s="61">
        <f t="shared" si="2"/>
        <v>74864517.682421267</v>
      </c>
      <c r="F30" s="61">
        <f t="shared" si="2"/>
        <v>78607743.566542327</v>
      </c>
      <c r="G30" s="61">
        <f t="shared" si="2"/>
        <v>82538130.744869456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64670785.169999994</v>
      </c>
      <c r="Q2" s="18">
        <f>'Formato 7 b)'!C8</f>
        <v>67904324.428500012</v>
      </c>
      <c r="R2" s="18">
        <f>'Formato 7 b)'!D8</f>
        <v>71299540.649925023</v>
      </c>
      <c r="S2" s="18">
        <f>'Formato 7 b)'!E8</f>
        <v>74864517.682421267</v>
      </c>
      <c r="T2" s="18">
        <f>'Formato 7 b)'!F8</f>
        <v>78607743.566542327</v>
      </c>
      <c r="U2" s="18">
        <f>'Formato 7 b)'!G8</f>
        <v>82538130.744869456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35760714.57</v>
      </c>
      <c r="Q3" s="18">
        <f>'Formato 7 b)'!C9</f>
        <v>37548750.298500001</v>
      </c>
      <c r="R3" s="18">
        <f>'Formato 7 b)'!D9</f>
        <v>39426187.813425004</v>
      </c>
      <c r="S3" s="18">
        <f>'Formato 7 b)'!E9</f>
        <v>41397497.204096258</v>
      </c>
      <c r="T3" s="18">
        <f>'Formato 7 b)'!F9</f>
        <v>43467372.064301074</v>
      </c>
      <c r="U3" s="18">
        <f>'Formato 7 b)'!G9</f>
        <v>45640740.667516127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3828723.1799999997</v>
      </c>
      <c r="Q4" s="18">
        <f>'Formato 7 b)'!C10</f>
        <v>4020159.3389999997</v>
      </c>
      <c r="R4" s="18">
        <f>'Formato 7 b)'!D10</f>
        <v>4221167.30595</v>
      </c>
      <c r="S4" s="18">
        <f>'Formato 7 b)'!E10</f>
        <v>4432225.6712475</v>
      </c>
      <c r="T4" s="18">
        <f>'Formato 7 b)'!F10</f>
        <v>4653836.9548098752</v>
      </c>
      <c r="U4" s="18">
        <f>'Formato 7 b)'!G10</f>
        <v>4886528.8025503689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8392720.9100000001</v>
      </c>
      <c r="Q5" s="18">
        <f>'Formato 7 b)'!C11</f>
        <v>8812356.9555000011</v>
      </c>
      <c r="R5" s="18">
        <f>'Formato 7 b)'!D11</f>
        <v>9252974.8032750022</v>
      </c>
      <c r="S5" s="18">
        <f>'Formato 7 b)'!E11</f>
        <v>9715623.5434387531</v>
      </c>
      <c r="T5" s="18">
        <f>'Formato 7 b)'!F11</f>
        <v>10201404.720610691</v>
      </c>
      <c r="U5" s="18">
        <f>'Formato 7 b)'!G11</f>
        <v>10711474.956641227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5990000</v>
      </c>
      <c r="Q6" s="18">
        <f>'Formato 7 b)'!C12</f>
        <v>6289500</v>
      </c>
      <c r="R6" s="18">
        <f>'Formato 7 b)'!D12</f>
        <v>6603975</v>
      </c>
      <c r="S6" s="18">
        <f>'Formato 7 b)'!E12</f>
        <v>6934173.75</v>
      </c>
      <c r="T6" s="18">
        <f>'Formato 7 b)'!F12</f>
        <v>7280882.4375</v>
      </c>
      <c r="U6" s="18">
        <f>'Formato 7 b)'!G12</f>
        <v>7644926.5593750002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235300</v>
      </c>
      <c r="Q7" s="18">
        <f>'Formato 7 b)'!C13</f>
        <v>247065</v>
      </c>
      <c r="R7" s="18">
        <f>'Formato 7 b)'!D13</f>
        <v>259418.25</v>
      </c>
      <c r="S7" s="18">
        <f>'Formato 7 b)'!E13</f>
        <v>272389.16250000003</v>
      </c>
      <c r="T7" s="18">
        <f>'Formato 7 b)'!F13</f>
        <v>286008.62062500004</v>
      </c>
      <c r="U7" s="18">
        <f>'Formato 7 b)'!G13</f>
        <v>300309.05165625003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10164706</v>
      </c>
      <c r="Q8" s="18">
        <f>'Formato 7 b)'!C14</f>
        <v>10672941.300000001</v>
      </c>
      <c r="R8" s="18">
        <f>'Formato 7 b)'!D14</f>
        <v>11206588.365000002</v>
      </c>
      <c r="S8" s="18">
        <f>'Formato 7 b)'!E14</f>
        <v>11766917.783250002</v>
      </c>
      <c r="T8" s="18">
        <f>'Formato 7 b)'!F14</f>
        <v>12355263.672412504</v>
      </c>
      <c r="U8" s="18">
        <f>'Formato 7 b)'!G14</f>
        <v>12973026.85603313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218620.51</v>
      </c>
      <c r="Q9" s="18">
        <f>'Formato 7 b)'!C15</f>
        <v>229551.53550000003</v>
      </c>
      <c r="R9" s="18">
        <f>'Formato 7 b)'!D15</f>
        <v>241029.11227500005</v>
      </c>
      <c r="S9" s="18">
        <f>'Formato 7 b)'!E15</f>
        <v>253080.56788875005</v>
      </c>
      <c r="T9" s="18">
        <f>'Formato 7 b)'!F15</f>
        <v>265734.59628318757</v>
      </c>
      <c r="U9" s="18">
        <f>'Formato 7 b)'!G15</f>
        <v>279021.32609734696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80000</v>
      </c>
      <c r="Q10" s="18">
        <f>'Formato 7 b)'!C16</f>
        <v>84000</v>
      </c>
      <c r="R10" s="18">
        <f>'Formato 7 b)'!D16</f>
        <v>88200</v>
      </c>
      <c r="S10" s="18">
        <f>'Formato 7 b)'!E16</f>
        <v>92610</v>
      </c>
      <c r="T10" s="18">
        <f>'Formato 7 b)'!F16</f>
        <v>97240.5</v>
      </c>
      <c r="U10" s="18">
        <f>'Formato 7 b)'!G16</f>
        <v>102102.52500000001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64670785.169999994</v>
      </c>
      <c r="Q22" s="18">
        <f>'Formato 7 b)'!C30</f>
        <v>67904324.428500012</v>
      </c>
      <c r="R22" s="18">
        <f>'Formato 7 b)'!D30</f>
        <v>71299540.649925023</v>
      </c>
      <c r="S22" s="18">
        <f>'Formato 7 b)'!E30</f>
        <v>74864517.682421267</v>
      </c>
      <c r="T22" s="18">
        <f>'Formato 7 b)'!F30</f>
        <v>78607743.566542327</v>
      </c>
      <c r="U22" s="18">
        <f>'Formato 7 b)'!G30</f>
        <v>82538130.744869456</v>
      </c>
    </row>
  </sheetData>
  <sheetProtection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B1" zoomScale="90" zoomScaleNormal="90" workbookViewId="0">
      <selection activeCell="F18" sqref="F18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1" t="s">
        <v>458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Municipio de Santa Catarina,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459</v>
      </c>
      <c r="B3" s="157"/>
      <c r="C3" s="157"/>
      <c r="D3" s="157"/>
      <c r="E3" s="157"/>
      <c r="F3" s="157"/>
      <c r="G3" s="158"/>
    </row>
    <row r="4" spans="1:7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3280</v>
      </c>
      <c r="B5" s="186" t="str">
        <f>ANIO5R</f>
        <v>2017 ¹ (c)</v>
      </c>
      <c r="C5" s="186" t="str">
        <f>ANIO4R</f>
        <v>2018 ¹ (c)</v>
      </c>
      <c r="D5" s="186" t="str">
        <f>ANIO3R</f>
        <v>2019 ¹ (c)</v>
      </c>
      <c r="E5" s="186" t="str">
        <f>ANIO2R</f>
        <v>2020 ¹ (c)</v>
      </c>
      <c r="F5" s="186" t="str">
        <f>ANIO1R</f>
        <v>2021 ¹ (c)</v>
      </c>
      <c r="G5" s="51">
        <f>ANIO_INFORME</f>
        <v>2022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3286</v>
      </c>
    </row>
    <row r="7" spans="1:7" x14ac:dyDescent="0.25">
      <c r="A7" s="52" t="s">
        <v>460</v>
      </c>
      <c r="B7" s="59">
        <f t="shared" ref="B7:G7" si="0">SUM(B8:B19)</f>
        <v>0</v>
      </c>
      <c r="C7" s="59">
        <f t="shared" si="0"/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60490013.8125</v>
      </c>
    </row>
    <row r="8" spans="1:7" x14ac:dyDescent="0.25">
      <c r="A8" s="53" t="s">
        <v>461</v>
      </c>
      <c r="B8" s="60"/>
      <c r="C8" s="60"/>
      <c r="D8" s="60"/>
      <c r="E8" s="60"/>
      <c r="F8" s="60"/>
      <c r="G8" s="60">
        <v>2645244.1125000003</v>
      </c>
    </row>
    <row r="9" spans="1:7" x14ac:dyDescent="0.25">
      <c r="A9" s="53" t="s">
        <v>462</v>
      </c>
      <c r="B9" s="60"/>
      <c r="C9" s="60"/>
      <c r="D9" s="60"/>
      <c r="E9" s="60"/>
      <c r="F9" s="60"/>
      <c r="G9" s="60">
        <v>0</v>
      </c>
    </row>
    <row r="10" spans="1:7" x14ac:dyDescent="0.25">
      <c r="A10" s="53" t="s">
        <v>463</v>
      </c>
      <c r="B10" s="60"/>
      <c r="C10" s="60"/>
      <c r="D10" s="60"/>
      <c r="E10" s="60"/>
      <c r="F10" s="60"/>
      <c r="G10" s="60">
        <v>0</v>
      </c>
    </row>
    <row r="11" spans="1:7" x14ac:dyDescent="0.25">
      <c r="A11" s="53" t="s">
        <v>464</v>
      </c>
      <c r="B11" s="60"/>
      <c r="C11" s="60"/>
      <c r="D11" s="60"/>
      <c r="E11" s="60"/>
      <c r="F11" s="60"/>
      <c r="G11" s="60">
        <v>2943517.2749999999</v>
      </c>
    </row>
    <row r="12" spans="1:7" x14ac:dyDescent="0.25">
      <c r="A12" s="53" t="s">
        <v>465</v>
      </c>
      <c r="B12" s="60"/>
      <c r="C12" s="60"/>
      <c r="D12" s="60"/>
      <c r="E12" s="60"/>
      <c r="F12" s="60"/>
      <c r="G12" s="60">
        <v>197614.53</v>
      </c>
    </row>
    <row r="13" spans="1:7" x14ac:dyDescent="0.25">
      <c r="A13" s="56" t="s">
        <v>466</v>
      </c>
      <c r="B13" s="60"/>
      <c r="C13" s="60"/>
      <c r="D13" s="60"/>
      <c r="E13" s="60"/>
      <c r="F13" s="60"/>
      <c r="G13" s="60">
        <v>302805.08</v>
      </c>
    </row>
    <row r="14" spans="1:7" x14ac:dyDescent="0.25">
      <c r="A14" s="53" t="s">
        <v>467</v>
      </c>
      <c r="B14" s="60"/>
      <c r="C14" s="60"/>
      <c r="D14" s="60"/>
      <c r="E14" s="60"/>
      <c r="F14" s="60"/>
      <c r="G14" s="60">
        <v>0</v>
      </c>
    </row>
    <row r="15" spans="1:7" x14ac:dyDescent="0.25">
      <c r="A15" s="53" t="s">
        <v>468</v>
      </c>
      <c r="B15" s="60"/>
      <c r="C15" s="60"/>
      <c r="D15" s="60"/>
      <c r="E15" s="60"/>
      <c r="F15" s="60"/>
      <c r="G15" s="60">
        <v>54042645.399999999</v>
      </c>
    </row>
    <row r="16" spans="1:7" x14ac:dyDescent="0.25">
      <c r="A16" s="53" t="s">
        <v>469</v>
      </c>
      <c r="B16" s="60"/>
      <c r="C16" s="60"/>
      <c r="D16" s="60"/>
      <c r="E16" s="60"/>
      <c r="F16" s="60"/>
      <c r="G16" s="60">
        <v>358187.41499999998</v>
      </c>
    </row>
    <row r="17" spans="1:7" x14ac:dyDescent="0.25">
      <c r="A17" s="53" t="s">
        <v>3290</v>
      </c>
      <c r="B17" s="60"/>
      <c r="C17" s="60"/>
      <c r="D17" s="60"/>
      <c r="E17" s="60"/>
      <c r="F17" s="60"/>
      <c r="G17" s="60">
        <v>0</v>
      </c>
    </row>
    <row r="18" spans="1:7" x14ac:dyDescent="0.25">
      <c r="A18" s="53" t="s">
        <v>470</v>
      </c>
      <c r="B18" s="60"/>
      <c r="C18" s="60"/>
      <c r="D18" s="60"/>
      <c r="E18" s="60"/>
      <c r="F18" s="60"/>
      <c r="G18" s="60">
        <v>0</v>
      </c>
    </row>
    <row r="19" spans="1:7" x14ac:dyDescent="0.25">
      <c r="A19" s="53" t="s">
        <v>471</v>
      </c>
      <c r="B19" s="60"/>
      <c r="C19" s="60"/>
      <c r="D19" s="60"/>
      <c r="E19" s="60"/>
      <c r="F19" s="60"/>
      <c r="G19" s="60">
        <v>0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477</v>
      </c>
      <c r="B21" s="61">
        <f t="shared" ref="B21:G21" si="1">SUM(B22:B26)</f>
        <v>0</v>
      </c>
      <c r="C21" s="61">
        <f t="shared" si="1"/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14012889.83</v>
      </c>
    </row>
    <row r="22" spans="1:7" x14ac:dyDescent="0.25">
      <c r="A22" s="53" t="s">
        <v>472</v>
      </c>
      <c r="B22" s="60"/>
      <c r="C22" s="60"/>
      <c r="D22" s="60"/>
      <c r="E22" s="60"/>
      <c r="F22" s="60"/>
      <c r="G22" s="60">
        <v>9356029.5</v>
      </c>
    </row>
    <row r="23" spans="1:7" x14ac:dyDescent="0.25">
      <c r="A23" s="53" t="s">
        <v>473</v>
      </c>
      <c r="B23" s="60"/>
      <c r="C23" s="60"/>
      <c r="D23" s="60"/>
      <c r="E23" s="60"/>
      <c r="F23" s="60"/>
      <c r="G23" s="60">
        <v>4656860.33</v>
      </c>
    </row>
    <row r="24" spans="1:7" x14ac:dyDescent="0.25">
      <c r="A24" s="53" t="s">
        <v>474</v>
      </c>
      <c r="B24" s="60"/>
      <c r="C24" s="60"/>
      <c r="D24" s="60"/>
      <c r="E24" s="60"/>
      <c r="F24" s="60"/>
      <c r="G24" s="60">
        <v>0</v>
      </c>
    </row>
    <row r="25" spans="1:7" x14ac:dyDescent="0.25">
      <c r="A25" s="53" t="s">
        <v>475</v>
      </c>
      <c r="B25" s="60"/>
      <c r="C25" s="60"/>
      <c r="D25" s="60"/>
      <c r="E25" s="60"/>
      <c r="F25" s="60"/>
      <c r="G25" s="60"/>
    </row>
    <row r="26" spans="1:7" x14ac:dyDescent="0.25">
      <c r="A26" s="53" t="s">
        <v>476</v>
      </c>
      <c r="B26" s="60"/>
      <c r="C26" s="60"/>
      <c r="D26" s="60"/>
      <c r="E26" s="60"/>
      <c r="F26" s="60"/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478</v>
      </c>
      <c r="B28" s="61">
        <f t="shared" ref="B28:G28" si="2">B29</f>
        <v>0</v>
      </c>
      <c r="C28" s="61">
        <f t="shared" si="2"/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479</v>
      </c>
      <c r="B31" s="61">
        <f t="shared" ref="B31:G31" si="3">B7+B21+B28</f>
        <v>0</v>
      </c>
      <c r="C31" s="61">
        <f t="shared" si="3"/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74502903.642499998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>
        <v>0</v>
      </c>
    </row>
    <row r="35" spans="1:7" ht="30" x14ac:dyDescent="0.25">
      <c r="A35" s="57" t="s">
        <v>480</v>
      </c>
      <c r="B35" s="60"/>
      <c r="C35" s="60"/>
      <c r="D35" s="60"/>
      <c r="E35" s="60"/>
      <c r="F35" s="60"/>
      <c r="G35" s="60">
        <v>0</v>
      </c>
    </row>
    <row r="36" spans="1:7" x14ac:dyDescent="0.25">
      <c r="A36" s="55" t="s">
        <v>481</v>
      </c>
      <c r="B36" s="61">
        <f t="shared" ref="B36:G36" si="4">B34+B35</f>
        <v>0</v>
      </c>
      <c r="C36" s="61">
        <f t="shared" si="4"/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3284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3285</v>
      </c>
      <c r="B40" s="185"/>
      <c r="C40" s="185"/>
      <c r="D40" s="185"/>
      <c r="E40" s="185"/>
      <c r="F40" s="185"/>
      <c r="G40" s="185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60490013.8125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2645244.1125000003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2943517.2749999999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197614.53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302805.08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54042645.399999999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358187.41499999998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14012889.83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9356029.5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4656860.33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74502903.642499998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topLeftCell="B6" zoomScale="90" zoomScaleNormal="90" workbookViewId="0">
      <selection activeCell="F24" sqref="F24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1" t="s">
        <v>482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Municipio de Santa Catarina,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483</v>
      </c>
      <c r="B3" s="157"/>
      <c r="C3" s="157"/>
      <c r="D3" s="157"/>
      <c r="E3" s="157"/>
      <c r="F3" s="157"/>
      <c r="G3" s="158"/>
    </row>
    <row r="4" spans="1:7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3134</v>
      </c>
      <c r="B5" s="186" t="str">
        <f>ANIO5R</f>
        <v>2017 ¹ (c)</v>
      </c>
      <c r="C5" s="186" t="str">
        <f>ANIO4R</f>
        <v>2018 ¹ (c)</v>
      </c>
      <c r="D5" s="186" t="str">
        <f>ANIO3R</f>
        <v>2019 ¹ (c)</v>
      </c>
      <c r="E5" s="186" t="str">
        <f>ANIO2R</f>
        <v>2020 ¹ (c)</v>
      </c>
      <c r="F5" s="186" t="str">
        <f>ANIO1R</f>
        <v>2021 ¹ (c)</v>
      </c>
      <c r="G5" s="51">
        <f>ANIO_INFORME</f>
        <v>2022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3287</v>
      </c>
    </row>
    <row r="7" spans="1:7" x14ac:dyDescent="0.25">
      <c r="A7" s="52" t="s">
        <v>484</v>
      </c>
      <c r="B7" s="59">
        <f t="shared" ref="B7:G7" si="0">SUM(B8:B16)</f>
        <v>0</v>
      </c>
      <c r="C7" s="59">
        <f t="shared" si="0"/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62118984.837499984</v>
      </c>
    </row>
    <row r="8" spans="1:7" x14ac:dyDescent="0.25">
      <c r="A8" s="53" t="s">
        <v>446</v>
      </c>
      <c r="B8" s="60"/>
      <c r="C8" s="60"/>
      <c r="D8" s="60"/>
      <c r="E8" s="60"/>
      <c r="F8" s="60"/>
      <c r="G8" s="60">
        <v>32650302.567499984</v>
      </c>
    </row>
    <row r="9" spans="1:7" x14ac:dyDescent="0.25">
      <c r="A9" s="53" t="s">
        <v>447</v>
      </c>
      <c r="B9" s="60"/>
      <c r="C9" s="60"/>
      <c r="D9" s="60"/>
      <c r="E9" s="60"/>
      <c r="F9" s="60"/>
      <c r="G9" s="60">
        <v>3757235.3049999997</v>
      </c>
    </row>
    <row r="10" spans="1:7" x14ac:dyDescent="0.25">
      <c r="A10" s="53" t="s">
        <v>448</v>
      </c>
      <c r="B10" s="60"/>
      <c r="C10" s="60"/>
      <c r="D10" s="60"/>
      <c r="E10" s="60"/>
      <c r="F10" s="60"/>
      <c r="G10" s="60">
        <v>9687903.3925000001</v>
      </c>
    </row>
    <row r="11" spans="1:7" x14ac:dyDescent="0.25">
      <c r="A11" s="53" t="s">
        <v>449</v>
      </c>
      <c r="B11" s="60"/>
      <c r="C11" s="60"/>
      <c r="D11" s="60"/>
      <c r="E11" s="60"/>
      <c r="F11" s="60"/>
      <c r="G11" s="60">
        <v>6243312.2599999998</v>
      </c>
    </row>
    <row r="12" spans="1:7" x14ac:dyDescent="0.25">
      <c r="A12" s="53" t="s">
        <v>450</v>
      </c>
      <c r="B12" s="60"/>
      <c r="C12" s="60"/>
      <c r="D12" s="60"/>
      <c r="E12" s="60"/>
      <c r="F12" s="60"/>
      <c r="G12" s="60">
        <v>203799</v>
      </c>
    </row>
    <row r="13" spans="1:7" x14ac:dyDescent="0.25">
      <c r="A13" s="53" t="s">
        <v>451</v>
      </c>
      <c r="B13" s="60"/>
      <c r="C13" s="60"/>
      <c r="D13" s="60"/>
      <c r="E13" s="60"/>
      <c r="F13" s="60"/>
      <c r="G13" s="60">
        <v>9352466.9299999997</v>
      </c>
    </row>
    <row r="14" spans="1:7" x14ac:dyDescent="0.25">
      <c r="A14" s="53" t="s">
        <v>452</v>
      </c>
      <c r="B14" s="60"/>
      <c r="C14" s="60"/>
      <c r="D14" s="60"/>
      <c r="E14" s="60"/>
      <c r="F14" s="60"/>
      <c r="G14" s="60">
        <v>163965.38250000001</v>
      </c>
    </row>
    <row r="15" spans="1:7" x14ac:dyDescent="0.25">
      <c r="A15" s="53" t="s">
        <v>453</v>
      </c>
      <c r="B15" s="60"/>
      <c r="C15" s="60"/>
      <c r="D15" s="60"/>
      <c r="E15" s="60"/>
      <c r="F15" s="60"/>
      <c r="G15" s="60">
        <v>60000</v>
      </c>
    </row>
    <row r="16" spans="1:7" x14ac:dyDescent="0.25">
      <c r="A16" s="53" t="s">
        <v>454</v>
      </c>
      <c r="B16" s="60"/>
      <c r="C16" s="60"/>
      <c r="D16" s="60"/>
      <c r="E16" s="60"/>
      <c r="F16" s="60"/>
      <c r="G16" s="60">
        <v>0</v>
      </c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485</v>
      </c>
      <c r="B18" s="61">
        <f t="shared" ref="B18:G18" si="1">SUM(B19:B27)</f>
        <v>0</v>
      </c>
      <c r="C18" s="61">
        <f t="shared" si="1"/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446</v>
      </c>
      <c r="B19" s="60"/>
      <c r="C19" s="60"/>
      <c r="D19" s="60"/>
      <c r="E19" s="60"/>
      <c r="F19" s="60"/>
      <c r="G19" s="60">
        <v>0</v>
      </c>
    </row>
    <row r="20" spans="1:7" x14ac:dyDescent="0.25">
      <c r="A20" s="53" t="s">
        <v>447</v>
      </c>
      <c r="B20" s="60"/>
      <c r="C20" s="60"/>
      <c r="D20" s="60"/>
      <c r="E20" s="60"/>
      <c r="F20" s="60"/>
      <c r="G20" s="60">
        <v>0</v>
      </c>
    </row>
    <row r="21" spans="1:7" x14ac:dyDescent="0.25">
      <c r="A21" s="53" t="s">
        <v>448</v>
      </c>
      <c r="B21" s="60"/>
      <c r="C21" s="60"/>
      <c r="D21" s="60"/>
      <c r="E21" s="60"/>
      <c r="F21" s="60"/>
      <c r="G21" s="60">
        <v>0</v>
      </c>
    </row>
    <row r="22" spans="1:7" x14ac:dyDescent="0.25">
      <c r="A22" s="53" t="s">
        <v>449</v>
      </c>
      <c r="B22" s="60"/>
      <c r="C22" s="60"/>
      <c r="D22" s="60"/>
      <c r="E22" s="60"/>
      <c r="F22" s="60"/>
      <c r="G22" s="60">
        <v>0</v>
      </c>
    </row>
    <row r="23" spans="1:7" x14ac:dyDescent="0.25">
      <c r="A23" s="53" t="s">
        <v>450</v>
      </c>
      <c r="B23" s="60"/>
      <c r="C23" s="60"/>
      <c r="D23" s="60"/>
      <c r="E23" s="60"/>
      <c r="F23" s="60"/>
      <c r="G23" s="60">
        <v>0</v>
      </c>
    </row>
    <row r="24" spans="1:7" x14ac:dyDescent="0.25">
      <c r="A24" s="53" t="s">
        <v>451</v>
      </c>
      <c r="B24" s="60"/>
      <c r="C24" s="60"/>
      <c r="D24" s="60"/>
      <c r="E24" s="60"/>
      <c r="F24" s="60"/>
      <c r="G24" s="60">
        <v>0</v>
      </c>
    </row>
    <row r="25" spans="1:7" x14ac:dyDescent="0.25">
      <c r="A25" s="53" t="s">
        <v>452</v>
      </c>
      <c r="B25" s="60"/>
      <c r="C25" s="60"/>
      <c r="D25" s="60"/>
      <c r="E25" s="60"/>
      <c r="F25" s="60"/>
      <c r="G25" s="60">
        <v>0</v>
      </c>
    </row>
    <row r="26" spans="1:7" x14ac:dyDescent="0.25">
      <c r="A26" s="53" t="s">
        <v>456</v>
      </c>
      <c r="B26" s="60"/>
      <c r="C26" s="60"/>
      <c r="D26" s="60"/>
      <c r="E26" s="60"/>
      <c r="F26" s="60"/>
      <c r="G26" s="60">
        <v>0</v>
      </c>
    </row>
    <row r="27" spans="1:7" x14ac:dyDescent="0.25">
      <c r="A27" s="53" t="s">
        <v>454</v>
      </c>
      <c r="B27" s="60"/>
      <c r="C27" s="60"/>
      <c r="D27" s="60"/>
      <c r="E27" s="60"/>
      <c r="F27" s="60"/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486</v>
      </c>
      <c r="B29" s="60">
        <f t="shared" ref="B29:G29" si="2">B7+B18</f>
        <v>0</v>
      </c>
      <c r="C29" s="60">
        <f t="shared" si="2"/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62118984.837499984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3284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3285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62118984.837499984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32650302.567499984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3757235.3049999997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9687903.3925000001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6243312.2599999998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203799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9352466.9299999997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163965.38250000001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60000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x14ac:dyDescent="0.25">
      <c r="A13" t="str">
        <f t="shared" ref="A13:A22" si="1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25">
      <c r="A14" t="str">
        <f t="shared" si="1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25">
      <c r="A15" t="str">
        <f t="shared" si="1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25">
      <c r="A16" t="str">
        <f t="shared" si="1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25">
      <c r="A17" t="str">
        <f t="shared" si="1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1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25">
      <c r="A19" t="str">
        <f t="shared" si="1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1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1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1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62118984.837499984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 x14ac:dyDescent="0.25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 x14ac:dyDescent="0.25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 x14ac:dyDescent="0.25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 x14ac:dyDescent="0.25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 x14ac:dyDescent="0.25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 x14ac:dyDescent="0.25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 x14ac:dyDescent="0.25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 x14ac:dyDescent="0.25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 x14ac:dyDescent="0.25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 x14ac:dyDescent="0.25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 x14ac:dyDescent="0.25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 x14ac:dyDescent="0.25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 x14ac:dyDescent="0.25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 x14ac:dyDescent="0.25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 x14ac:dyDescent="0.25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 x14ac:dyDescent="0.25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 x14ac:dyDescent="0.25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 x14ac:dyDescent="0.25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 x14ac:dyDescent="0.25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 x14ac:dyDescent="0.25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 x14ac:dyDescent="0.25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 x14ac:dyDescent="0.25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 x14ac:dyDescent="0.25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 x14ac:dyDescent="0.25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 x14ac:dyDescent="0.25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 x14ac:dyDescent="0.25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 x14ac:dyDescent="0.25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 x14ac:dyDescent="0.25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 x14ac:dyDescent="0.25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 x14ac:dyDescent="0.25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 x14ac:dyDescent="0.25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 x14ac:dyDescent="0.25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 x14ac:dyDescent="0.25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 x14ac:dyDescent="0.25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 x14ac:dyDescent="0.25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 x14ac:dyDescent="0.25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 x14ac:dyDescent="0.25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 x14ac:dyDescent="0.25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 x14ac:dyDescent="0.25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 x14ac:dyDescent="0.25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 x14ac:dyDescent="0.25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 x14ac:dyDescent="0.25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 x14ac:dyDescent="0.25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 x14ac:dyDescent="0.25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 x14ac:dyDescent="0.25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 x14ac:dyDescent="0.25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 x14ac:dyDescent="0.25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 x14ac:dyDescent="0.25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 x14ac:dyDescent="0.25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 x14ac:dyDescent="0.25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 x14ac:dyDescent="0.25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 x14ac:dyDescent="0.25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 x14ac:dyDescent="0.25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 x14ac:dyDescent="0.25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 x14ac:dyDescent="0.25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 x14ac:dyDescent="0.25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 x14ac:dyDescent="0.25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 x14ac:dyDescent="0.25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 x14ac:dyDescent="0.25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 x14ac:dyDescent="0.25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 x14ac:dyDescent="0.25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 x14ac:dyDescent="0.25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 x14ac:dyDescent="0.25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 x14ac:dyDescent="0.2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 x14ac:dyDescent="0.2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 x14ac:dyDescent="0.2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 x14ac:dyDescent="0.2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 x14ac:dyDescent="0.2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 x14ac:dyDescent="0.2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 x14ac:dyDescent="0.2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 x14ac:dyDescent="0.2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 x14ac:dyDescent="0.2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 x14ac:dyDescent="0.2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 x14ac:dyDescent="0.2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 x14ac:dyDescent="0.2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 x14ac:dyDescent="0.2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 x14ac:dyDescent="0.2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 x14ac:dyDescent="0.2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 x14ac:dyDescent="0.2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 x14ac:dyDescent="0.2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 x14ac:dyDescent="0.2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 x14ac:dyDescent="0.2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 x14ac:dyDescent="0.2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 x14ac:dyDescent="0.2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 x14ac:dyDescent="0.2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 x14ac:dyDescent="0.2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 x14ac:dyDescent="0.2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 x14ac:dyDescent="0.2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 x14ac:dyDescent="0.2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 x14ac:dyDescent="0.2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 x14ac:dyDescent="0.2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 x14ac:dyDescent="0.2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 x14ac:dyDescent="0.2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 x14ac:dyDescent="0.2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 x14ac:dyDescent="0.2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 x14ac:dyDescent="0.2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 x14ac:dyDescent="0.2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 x14ac:dyDescent="0.2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 x14ac:dyDescent="0.2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 x14ac:dyDescent="0.2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 x14ac:dyDescent="0.2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 x14ac:dyDescent="0.2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 x14ac:dyDescent="0.2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 x14ac:dyDescent="0.2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 x14ac:dyDescent="0.2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 x14ac:dyDescent="0.2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 x14ac:dyDescent="0.2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 x14ac:dyDescent="0.2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 x14ac:dyDescent="0.2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 x14ac:dyDescent="0.2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 x14ac:dyDescent="0.2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 x14ac:dyDescent="0.25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 x14ac:dyDescent="0.25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 x14ac:dyDescent="0.25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 x14ac:dyDescent="0.25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 x14ac:dyDescent="0.25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 x14ac:dyDescent="0.25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 x14ac:dyDescent="0.25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 x14ac:dyDescent="0.25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 x14ac:dyDescent="0.25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 x14ac:dyDescent="0.25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 x14ac:dyDescent="0.25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 x14ac:dyDescent="0.25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 x14ac:dyDescent="0.25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 x14ac:dyDescent="0.25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 x14ac:dyDescent="0.25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 x14ac:dyDescent="0.25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 x14ac:dyDescent="0.25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 x14ac:dyDescent="0.25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 x14ac:dyDescent="0.25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 x14ac:dyDescent="0.25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 x14ac:dyDescent="0.25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 x14ac:dyDescent="0.25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 x14ac:dyDescent="0.25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 x14ac:dyDescent="0.25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 x14ac:dyDescent="0.25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 x14ac:dyDescent="0.25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 x14ac:dyDescent="0.25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 x14ac:dyDescent="0.25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 x14ac:dyDescent="0.25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 x14ac:dyDescent="0.25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 x14ac:dyDescent="0.25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 x14ac:dyDescent="0.25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 x14ac:dyDescent="0.25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 x14ac:dyDescent="0.25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 x14ac:dyDescent="0.25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 x14ac:dyDescent="0.25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 x14ac:dyDescent="0.25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 x14ac:dyDescent="0.25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 x14ac:dyDescent="0.25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 x14ac:dyDescent="0.25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 x14ac:dyDescent="0.25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 x14ac:dyDescent="0.25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 x14ac:dyDescent="0.25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 x14ac:dyDescent="0.25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 x14ac:dyDescent="0.25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 x14ac:dyDescent="0.25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 x14ac:dyDescent="0.25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 x14ac:dyDescent="0.25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 x14ac:dyDescent="0.25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 x14ac:dyDescent="0.25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 x14ac:dyDescent="0.25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 x14ac:dyDescent="0.25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 x14ac:dyDescent="0.25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 x14ac:dyDescent="0.25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 x14ac:dyDescent="0.25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 x14ac:dyDescent="0.25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 x14ac:dyDescent="0.25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 x14ac:dyDescent="0.25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 x14ac:dyDescent="0.25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 x14ac:dyDescent="0.25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 x14ac:dyDescent="0.25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 x14ac:dyDescent="0.25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 x14ac:dyDescent="0.25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 x14ac:dyDescent="0.25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 x14ac:dyDescent="0.25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 x14ac:dyDescent="0.25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 x14ac:dyDescent="0.25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 x14ac:dyDescent="0.25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 x14ac:dyDescent="0.25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 x14ac:dyDescent="0.25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 x14ac:dyDescent="0.25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 x14ac:dyDescent="0.25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 x14ac:dyDescent="0.25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 x14ac:dyDescent="0.25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 x14ac:dyDescent="0.25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 x14ac:dyDescent="0.25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 x14ac:dyDescent="0.25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 x14ac:dyDescent="0.25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 x14ac:dyDescent="0.25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 x14ac:dyDescent="0.25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 x14ac:dyDescent="0.25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 x14ac:dyDescent="0.25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 x14ac:dyDescent="0.25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 x14ac:dyDescent="0.25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 x14ac:dyDescent="0.25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 x14ac:dyDescent="0.25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 x14ac:dyDescent="0.25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 x14ac:dyDescent="0.25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 x14ac:dyDescent="0.25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 x14ac:dyDescent="0.25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 x14ac:dyDescent="0.25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 x14ac:dyDescent="0.25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 x14ac:dyDescent="0.25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 x14ac:dyDescent="0.25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 x14ac:dyDescent="0.25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 x14ac:dyDescent="0.25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 x14ac:dyDescent="0.25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 x14ac:dyDescent="0.25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 x14ac:dyDescent="0.25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 x14ac:dyDescent="0.25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 x14ac:dyDescent="0.25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 x14ac:dyDescent="0.25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 x14ac:dyDescent="0.25">
      <c r="AP215">
        <v>20</v>
      </c>
      <c r="AQ215" t="s">
        <v>1970</v>
      </c>
      <c r="AR215">
        <v>21</v>
      </c>
      <c r="AS215" t="s">
        <v>2525</v>
      </c>
    </row>
    <row r="216" spans="42:63" x14ac:dyDescent="0.25">
      <c r="AP216">
        <v>20</v>
      </c>
      <c r="AQ216" t="s">
        <v>1971</v>
      </c>
      <c r="AR216">
        <v>21</v>
      </c>
      <c r="AS216" t="s">
        <v>2526</v>
      </c>
    </row>
    <row r="217" spans="42:63" x14ac:dyDescent="0.25">
      <c r="AP217">
        <v>20</v>
      </c>
      <c r="AQ217" t="s">
        <v>1972</v>
      </c>
      <c r="AR217">
        <v>21</v>
      </c>
      <c r="AS217" t="s">
        <v>2527</v>
      </c>
    </row>
    <row r="218" spans="42:63" x14ac:dyDescent="0.25">
      <c r="AP218">
        <v>20</v>
      </c>
      <c r="AQ218" t="s">
        <v>1973</v>
      </c>
      <c r="AR218">
        <v>21</v>
      </c>
      <c r="AS218" t="s">
        <v>2528</v>
      </c>
    </row>
    <row r="219" spans="42:63" x14ac:dyDescent="0.25">
      <c r="AP219">
        <v>20</v>
      </c>
      <c r="AQ219" t="s">
        <v>1974</v>
      </c>
      <c r="AR219">
        <v>21</v>
      </c>
      <c r="AS219" t="s">
        <v>2529</v>
      </c>
    </row>
    <row r="220" spans="42:63" x14ac:dyDescent="0.25">
      <c r="AP220">
        <v>20</v>
      </c>
      <c r="AQ220" t="s">
        <v>1975</v>
      </c>
    </row>
    <row r="221" spans="42:63" x14ac:dyDescent="0.25">
      <c r="AP221">
        <v>20</v>
      </c>
      <c r="AQ221" t="s">
        <v>1976</v>
      </c>
    </row>
    <row r="222" spans="42:63" x14ac:dyDescent="0.25">
      <c r="AP222">
        <v>20</v>
      </c>
      <c r="AQ222" t="s">
        <v>1977</v>
      </c>
    </row>
    <row r="223" spans="42:63" x14ac:dyDescent="0.25">
      <c r="AP223">
        <v>20</v>
      </c>
      <c r="AQ223" t="s">
        <v>1978</v>
      </c>
    </row>
    <row r="224" spans="42:63" x14ac:dyDescent="0.25">
      <c r="AP224">
        <v>20</v>
      </c>
      <c r="AQ224" t="s">
        <v>1979</v>
      </c>
    </row>
    <row r="225" spans="42:43" x14ac:dyDescent="0.25">
      <c r="AP225">
        <v>20</v>
      </c>
      <c r="AQ225" t="s">
        <v>1980</v>
      </c>
    </row>
    <row r="226" spans="42:43" x14ac:dyDescent="0.25">
      <c r="AP226">
        <v>20</v>
      </c>
      <c r="AQ226" t="s">
        <v>1981</v>
      </c>
    </row>
    <row r="227" spans="42:43" x14ac:dyDescent="0.25">
      <c r="AP227">
        <v>20</v>
      </c>
      <c r="AQ227" t="s">
        <v>1982</v>
      </c>
    </row>
    <row r="228" spans="42:43" x14ac:dyDescent="0.25">
      <c r="AP228">
        <v>20</v>
      </c>
      <c r="AQ228" t="s">
        <v>1983</v>
      </c>
    </row>
    <row r="229" spans="42:43" x14ac:dyDescent="0.25">
      <c r="AP229">
        <v>20</v>
      </c>
      <c r="AQ229" t="s">
        <v>1984</v>
      </c>
    </row>
    <row r="230" spans="42:43" x14ac:dyDescent="0.25">
      <c r="AP230">
        <v>20</v>
      </c>
      <c r="AQ230" t="s">
        <v>1985</v>
      </c>
    </row>
    <row r="231" spans="42:43" x14ac:dyDescent="0.25">
      <c r="AP231">
        <v>20</v>
      </c>
      <c r="AQ231" t="s">
        <v>1986</v>
      </c>
    </row>
    <row r="232" spans="42:43" x14ac:dyDescent="0.25">
      <c r="AP232">
        <v>20</v>
      </c>
      <c r="AQ232" t="s">
        <v>1987</v>
      </c>
    </row>
    <row r="233" spans="42:43" x14ac:dyDescent="0.25">
      <c r="AP233">
        <v>20</v>
      </c>
      <c r="AQ233" t="s">
        <v>1988</v>
      </c>
    </row>
    <row r="234" spans="42:43" x14ac:dyDescent="0.25">
      <c r="AP234">
        <v>20</v>
      </c>
      <c r="AQ234" t="s">
        <v>1989</v>
      </c>
    </row>
    <row r="235" spans="42:43" x14ac:dyDescent="0.25">
      <c r="AP235">
        <v>20</v>
      </c>
      <c r="AQ235" t="s">
        <v>1990</v>
      </c>
    </row>
    <row r="236" spans="42:43" x14ac:dyDescent="0.25">
      <c r="AP236">
        <v>20</v>
      </c>
      <c r="AQ236" t="s">
        <v>1991</v>
      </c>
    </row>
    <row r="237" spans="42:43" x14ac:dyDescent="0.25">
      <c r="AP237">
        <v>20</v>
      </c>
      <c r="AQ237" t="s">
        <v>1992</v>
      </c>
    </row>
    <row r="238" spans="42:43" x14ac:dyDescent="0.25">
      <c r="AP238">
        <v>20</v>
      </c>
      <c r="AQ238" t="s">
        <v>1993</v>
      </c>
    </row>
    <row r="239" spans="42:43" x14ac:dyDescent="0.25">
      <c r="AP239">
        <v>20</v>
      </c>
      <c r="AQ239" t="s">
        <v>1994</v>
      </c>
    </row>
    <row r="240" spans="42:43" x14ac:dyDescent="0.25">
      <c r="AP240">
        <v>20</v>
      </c>
      <c r="AQ240" t="s">
        <v>1995</v>
      </c>
    </row>
    <row r="241" spans="42:43" x14ac:dyDescent="0.25">
      <c r="AP241">
        <v>20</v>
      </c>
      <c r="AQ241" t="s">
        <v>1996</v>
      </c>
    </row>
    <row r="242" spans="42:43" x14ac:dyDescent="0.25">
      <c r="AP242">
        <v>20</v>
      </c>
      <c r="AQ242" t="s">
        <v>1997</v>
      </c>
    </row>
    <row r="243" spans="42:43" x14ac:dyDescent="0.25">
      <c r="AP243">
        <v>20</v>
      </c>
      <c r="AQ243" t="s">
        <v>1998</v>
      </c>
    </row>
    <row r="244" spans="42:43" x14ac:dyDescent="0.25">
      <c r="AP244">
        <v>20</v>
      </c>
      <c r="AQ244" t="s">
        <v>1999</v>
      </c>
    </row>
    <row r="245" spans="42:43" x14ac:dyDescent="0.25">
      <c r="AP245">
        <v>20</v>
      </c>
      <c r="AQ245" t="s">
        <v>2000</v>
      </c>
    </row>
    <row r="246" spans="42:43" x14ac:dyDescent="0.25">
      <c r="AP246">
        <v>20</v>
      </c>
      <c r="AQ246" t="s">
        <v>2001</v>
      </c>
    </row>
    <row r="247" spans="42:43" x14ac:dyDescent="0.25">
      <c r="AP247">
        <v>20</v>
      </c>
      <c r="AQ247" t="s">
        <v>2002</v>
      </c>
    </row>
    <row r="248" spans="42:43" x14ac:dyDescent="0.25">
      <c r="AP248">
        <v>20</v>
      </c>
      <c r="AQ248" t="s">
        <v>2003</v>
      </c>
    </row>
    <row r="249" spans="42:43" x14ac:dyDescent="0.25">
      <c r="AP249">
        <v>20</v>
      </c>
      <c r="AQ249" t="s">
        <v>2004</v>
      </c>
    </row>
    <row r="250" spans="42:43" x14ac:dyDescent="0.25">
      <c r="AP250">
        <v>20</v>
      </c>
      <c r="AQ250" t="s">
        <v>2005</v>
      </c>
    </row>
    <row r="251" spans="42:43" x14ac:dyDescent="0.25">
      <c r="AP251">
        <v>20</v>
      </c>
      <c r="AQ251" t="s">
        <v>2006</v>
      </c>
    </row>
    <row r="252" spans="42:43" x14ac:dyDescent="0.25">
      <c r="AP252">
        <v>20</v>
      </c>
      <c r="AQ252" t="s">
        <v>2007</v>
      </c>
    </row>
    <row r="253" spans="42:43" x14ac:dyDescent="0.25">
      <c r="AP253">
        <v>20</v>
      </c>
      <c r="AQ253" t="s">
        <v>2008</v>
      </c>
    </row>
    <row r="254" spans="42:43" x14ac:dyDescent="0.25">
      <c r="AP254">
        <v>20</v>
      </c>
      <c r="AQ254" t="s">
        <v>2009</v>
      </c>
    </row>
    <row r="255" spans="42:43" x14ac:dyDescent="0.25">
      <c r="AP255">
        <v>20</v>
      </c>
      <c r="AQ255" t="s">
        <v>2010</v>
      </c>
    </row>
    <row r="256" spans="42:43" x14ac:dyDescent="0.25">
      <c r="AP256">
        <v>20</v>
      </c>
      <c r="AQ256" t="s">
        <v>2011</v>
      </c>
    </row>
    <row r="257" spans="42:43" x14ac:dyDescent="0.25">
      <c r="AP257">
        <v>20</v>
      </c>
      <c r="AQ257" t="s">
        <v>2012</v>
      </c>
    </row>
    <row r="258" spans="42:43" x14ac:dyDescent="0.25">
      <c r="AP258">
        <v>20</v>
      </c>
      <c r="AQ258" t="s">
        <v>2013</v>
      </c>
    </row>
    <row r="259" spans="42:43" x14ac:dyDescent="0.25">
      <c r="AP259">
        <v>20</v>
      </c>
      <c r="AQ259" t="s">
        <v>2014</v>
      </c>
    </row>
    <row r="260" spans="42:43" x14ac:dyDescent="0.25">
      <c r="AP260">
        <v>20</v>
      </c>
      <c r="AQ260" t="s">
        <v>2015</v>
      </c>
    </row>
    <row r="261" spans="42:43" x14ac:dyDescent="0.25">
      <c r="AP261">
        <v>20</v>
      </c>
      <c r="AQ261" t="s">
        <v>2016</v>
      </c>
    </row>
    <row r="262" spans="42:43" x14ac:dyDescent="0.25">
      <c r="AP262">
        <v>20</v>
      </c>
      <c r="AQ262" t="s">
        <v>2017</v>
      </c>
    </row>
    <row r="263" spans="42:43" x14ac:dyDescent="0.25">
      <c r="AP263">
        <v>20</v>
      </c>
      <c r="AQ263" t="s">
        <v>2018</v>
      </c>
    </row>
    <row r="264" spans="42:43" x14ac:dyDescent="0.25">
      <c r="AP264">
        <v>20</v>
      </c>
      <c r="AQ264" t="s">
        <v>2019</v>
      </c>
    </row>
    <row r="265" spans="42:43" x14ac:dyDescent="0.25">
      <c r="AP265">
        <v>20</v>
      </c>
      <c r="AQ265" t="s">
        <v>2020</v>
      </c>
    </row>
    <row r="266" spans="42:43" x14ac:dyDescent="0.25">
      <c r="AP266">
        <v>20</v>
      </c>
      <c r="AQ266" t="s">
        <v>2021</v>
      </c>
    </row>
    <row r="267" spans="42:43" x14ac:dyDescent="0.25">
      <c r="AP267">
        <v>20</v>
      </c>
      <c r="AQ267" t="s">
        <v>2022</v>
      </c>
    </row>
    <row r="268" spans="42:43" x14ac:dyDescent="0.25">
      <c r="AP268">
        <v>20</v>
      </c>
      <c r="AQ268" t="s">
        <v>2023</v>
      </c>
    </row>
    <row r="269" spans="42:43" x14ac:dyDescent="0.25">
      <c r="AP269">
        <v>20</v>
      </c>
      <c r="AQ269" t="s">
        <v>2024</v>
      </c>
    </row>
    <row r="270" spans="42:43" x14ac:dyDescent="0.25">
      <c r="AP270">
        <v>20</v>
      </c>
      <c r="AQ270" t="s">
        <v>2025</v>
      </c>
    </row>
    <row r="271" spans="42:43" x14ac:dyDescent="0.25">
      <c r="AP271">
        <v>20</v>
      </c>
      <c r="AQ271" t="s">
        <v>2026</v>
      </c>
    </row>
    <row r="272" spans="42:43" x14ac:dyDescent="0.25">
      <c r="AP272">
        <v>20</v>
      </c>
      <c r="AQ272" t="s">
        <v>2027</v>
      </c>
    </row>
    <row r="273" spans="42:43" x14ac:dyDescent="0.25">
      <c r="AP273">
        <v>20</v>
      </c>
      <c r="AQ273" t="s">
        <v>2028</v>
      </c>
    </row>
    <row r="274" spans="42:43" x14ac:dyDescent="0.25">
      <c r="AP274">
        <v>20</v>
      </c>
      <c r="AQ274" t="s">
        <v>2029</v>
      </c>
    </row>
    <row r="275" spans="42:43" x14ac:dyDescent="0.25">
      <c r="AP275">
        <v>20</v>
      </c>
      <c r="AQ275" t="s">
        <v>2030</v>
      </c>
    </row>
    <row r="276" spans="42:43" x14ac:dyDescent="0.25">
      <c r="AP276">
        <v>20</v>
      </c>
      <c r="AQ276" t="s">
        <v>2031</v>
      </c>
    </row>
    <row r="277" spans="42:43" x14ac:dyDescent="0.25">
      <c r="AP277">
        <v>20</v>
      </c>
      <c r="AQ277" t="s">
        <v>2032</v>
      </c>
    </row>
    <row r="278" spans="42:43" x14ac:dyDescent="0.25">
      <c r="AP278">
        <v>20</v>
      </c>
      <c r="AQ278" t="s">
        <v>2033</v>
      </c>
    </row>
    <row r="279" spans="42:43" x14ac:dyDescent="0.25">
      <c r="AP279">
        <v>20</v>
      </c>
      <c r="AQ279" t="s">
        <v>2034</v>
      </c>
    </row>
    <row r="280" spans="42:43" x14ac:dyDescent="0.25">
      <c r="AP280">
        <v>20</v>
      </c>
      <c r="AQ280" t="s">
        <v>2035</v>
      </c>
    </row>
    <row r="281" spans="42:43" x14ac:dyDescent="0.25">
      <c r="AP281">
        <v>20</v>
      </c>
      <c r="AQ281" t="s">
        <v>2036</v>
      </c>
    </row>
    <row r="282" spans="42:43" x14ac:dyDescent="0.25">
      <c r="AP282">
        <v>20</v>
      </c>
      <c r="AQ282" t="s">
        <v>2037</v>
      </c>
    </row>
    <row r="283" spans="42:43" x14ac:dyDescent="0.25">
      <c r="AP283">
        <v>20</v>
      </c>
      <c r="AQ283" t="s">
        <v>2038</v>
      </c>
    </row>
    <row r="284" spans="42:43" x14ac:dyDescent="0.25">
      <c r="AP284">
        <v>20</v>
      </c>
      <c r="AQ284" t="s">
        <v>2039</v>
      </c>
    </row>
    <row r="285" spans="42:43" x14ac:dyDescent="0.25">
      <c r="AP285">
        <v>20</v>
      </c>
      <c r="AQ285" t="s">
        <v>2040</v>
      </c>
    </row>
    <row r="286" spans="42:43" x14ac:dyDescent="0.25">
      <c r="AP286">
        <v>20</v>
      </c>
      <c r="AQ286" t="s">
        <v>2041</v>
      </c>
    </row>
    <row r="287" spans="42:43" x14ac:dyDescent="0.25">
      <c r="AP287">
        <v>20</v>
      </c>
      <c r="AQ287" t="s">
        <v>2042</v>
      </c>
    </row>
    <row r="288" spans="42:43" x14ac:dyDescent="0.25">
      <c r="AP288">
        <v>20</v>
      </c>
      <c r="AQ288" t="s">
        <v>2043</v>
      </c>
    </row>
    <row r="289" spans="42:43" x14ac:dyDescent="0.25">
      <c r="AP289">
        <v>20</v>
      </c>
      <c r="AQ289" t="s">
        <v>2044</v>
      </c>
    </row>
    <row r="290" spans="42:43" x14ac:dyDescent="0.25">
      <c r="AP290">
        <v>20</v>
      </c>
      <c r="AQ290" t="s">
        <v>2045</v>
      </c>
    </row>
    <row r="291" spans="42:43" x14ac:dyDescent="0.25">
      <c r="AP291">
        <v>20</v>
      </c>
      <c r="AQ291" t="s">
        <v>2046</v>
      </c>
    </row>
    <row r="292" spans="42:43" x14ac:dyDescent="0.25">
      <c r="AP292">
        <v>20</v>
      </c>
      <c r="AQ292" t="s">
        <v>2047</v>
      </c>
    </row>
    <row r="293" spans="42:43" x14ac:dyDescent="0.25">
      <c r="AP293">
        <v>20</v>
      </c>
      <c r="AQ293" t="s">
        <v>2048</v>
      </c>
    </row>
    <row r="294" spans="42:43" x14ac:dyDescent="0.25">
      <c r="AP294">
        <v>20</v>
      </c>
      <c r="AQ294" t="s">
        <v>2049</v>
      </c>
    </row>
    <row r="295" spans="42:43" x14ac:dyDescent="0.25">
      <c r="AP295">
        <v>20</v>
      </c>
      <c r="AQ295" t="s">
        <v>2050</v>
      </c>
    </row>
    <row r="296" spans="42:43" x14ac:dyDescent="0.25">
      <c r="AP296">
        <v>20</v>
      </c>
      <c r="AQ296" t="s">
        <v>2051</v>
      </c>
    </row>
    <row r="297" spans="42:43" x14ac:dyDescent="0.25">
      <c r="AP297">
        <v>20</v>
      </c>
      <c r="AQ297" t="s">
        <v>2052</v>
      </c>
    </row>
    <row r="298" spans="42:43" x14ac:dyDescent="0.25">
      <c r="AP298">
        <v>20</v>
      </c>
      <c r="AQ298" t="s">
        <v>2053</v>
      </c>
    </row>
    <row r="299" spans="42:43" x14ac:dyDescent="0.25">
      <c r="AP299">
        <v>20</v>
      </c>
      <c r="AQ299" t="s">
        <v>2054</v>
      </c>
    </row>
    <row r="300" spans="42:43" x14ac:dyDescent="0.25">
      <c r="AP300">
        <v>20</v>
      </c>
      <c r="AQ300" t="s">
        <v>2055</v>
      </c>
    </row>
    <row r="301" spans="42:43" x14ac:dyDescent="0.25">
      <c r="AP301">
        <v>20</v>
      </c>
      <c r="AQ301" t="s">
        <v>2056</v>
      </c>
    </row>
    <row r="302" spans="42:43" x14ac:dyDescent="0.25">
      <c r="AP302">
        <v>20</v>
      </c>
      <c r="AQ302" t="s">
        <v>2057</v>
      </c>
    </row>
    <row r="303" spans="42:43" x14ac:dyDescent="0.25">
      <c r="AP303">
        <v>20</v>
      </c>
      <c r="AQ303" t="s">
        <v>2058</v>
      </c>
    </row>
    <row r="304" spans="42:43" x14ac:dyDescent="0.25">
      <c r="AP304">
        <v>20</v>
      </c>
      <c r="AQ304" t="s">
        <v>2059</v>
      </c>
    </row>
    <row r="305" spans="42:43" x14ac:dyDescent="0.25">
      <c r="AP305">
        <v>20</v>
      </c>
      <c r="AQ305" t="s">
        <v>2060</v>
      </c>
    </row>
    <row r="306" spans="42:43" x14ac:dyDescent="0.25">
      <c r="AP306">
        <v>20</v>
      </c>
      <c r="AQ306" t="s">
        <v>2061</v>
      </c>
    </row>
    <row r="307" spans="42:43" x14ac:dyDescent="0.25">
      <c r="AP307">
        <v>20</v>
      </c>
      <c r="AQ307" t="s">
        <v>2062</v>
      </c>
    </row>
    <row r="308" spans="42:43" x14ac:dyDescent="0.25">
      <c r="AP308">
        <v>20</v>
      </c>
      <c r="AQ308" t="s">
        <v>2063</v>
      </c>
    </row>
    <row r="309" spans="42:43" x14ac:dyDescent="0.25">
      <c r="AP309">
        <v>20</v>
      </c>
      <c r="AQ309" t="s">
        <v>2064</v>
      </c>
    </row>
    <row r="310" spans="42:43" x14ac:dyDescent="0.25">
      <c r="AP310">
        <v>20</v>
      </c>
      <c r="AQ310" t="s">
        <v>2065</v>
      </c>
    </row>
    <row r="311" spans="42:43" x14ac:dyDescent="0.25">
      <c r="AP311">
        <v>20</v>
      </c>
      <c r="AQ311" t="s">
        <v>2066</v>
      </c>
    </row>
    <row r="312" spans="42:43" x14ac:dyDescent="0.25">
      <c r="AP312">
        <v>20</v>
      </c>
      <c r="AQ312" t="s">
        <v>2067</v>
      </c>
    </row>
    <row r="313" spans="42:43" x14ac:dyDescent="0.25">
      <c r="AP313">
        <v>20</v>
      </c>
      <c r="AQ313" t="s">
        <v>2068</v>
      </c>
    </row>
    <row r="314" spans="42:43" x14ac:dyDescent="0.25">
      <c r="AP314">
        <v>20</v>
      </c>
      <c r="AQ314" t="s">
        <v>2069</v>
      </c>
    </row>
    <row r="315" spans="42:43" x14ac:dyDescent="0.25">
      <c r="AP315">
        <v>20</v>
      </c>
      <c r="AQ315" t="s">
        <v>2070</v>
      </c>
    </row>
    <row r="316" spans="42:43" x14ac:dyDescent="0.25">
      <c r="AP316">
        <v>20</v>
      </c>
      <c r="AQ316" t="s">
        <v>2071</v>
      </c>
    </row>
    <row r="317" spans="42:43" x14ac:dyDescent="0.25">
      <c r="AP317">
        <v>20</v>
      </c>
      <c r="AQ317" t="s">
        <v>2072</v>
      </c>
    </row>
    <row r="318" spans="42:43" x14ac:dyDescent="0.25">
      <c r="AP318">
        <v>20</v>
      </c>
      <c r="AQ318" t="s">
        <v>2073</v>
      </c>
    </row>
    <row r="319" spans="42:43" x14ac:dyDescent="0.25">
      <c r="AP319">
        <v>20</v>
      </c>
      <c r="AQ319" t="s">
        <v>2074</v>
      </c>
    </row>
    <row r="320" spans="42:43" x14ac:dyDescent="0.25">
      <c r="AP320">
        <v>20</v>
      </c>
      <c r="AQ320" t="s">
        <v>2075</v>
      </c>
    </row>
    <row r="321" spans="42:43" x14ac:dyDescent="0.25">
      <c r="AP321">
        <v>20</v>
      </c>
      <c r="AQ321" t="s">
        <v>2076</v>
      </c>
    </row>
    <row r="322" spans="42:43" x14ac:dyDescent="0.25">
      <c r="AP322">
        <v>20</v>
      </c>
      <c r="AQ322" t="s">
        <v>2077</v>
      </c>
    </row>
    <row r="323" spans="42:43" x14ac:dyDescent="0.25">
      <c r="AP323">
        <v>20</v>
      </c>
      <c r="AQ323" t="s">
        <v>2078</v>
      </c>
    </row>
    <row r="324" spans="42:43" x14ac:dyDescent="0.25">
      <c r="AP324">
        <v>20</v>
      </c>
      <c r="AQ324" t="s">
        <v>2079</v>
      </c>
    </row>
    <row r="325" spans="42:43" x14ac:dyDescent="0.25">
      <c r="AP325">
        <v>20</v>
      </c>
      <c r="AQ325" t="s">
        <v>2080</v>
      </c>
    </row>
    <row r="326" spans="42:43" x14ac:dyDescent="0.25">
      <c r="AP326">
        <v>20</v>
      </c>
      <c r="AQ326" t="s">
        <v>2081</v>
      </c>
    </row>
    <row r="327" spans="42:43" x14ac:dyDescent="0.25">
      <c r="AP327">
        <v>20</v>
      </c>
      <c r="AQ327" t="s">
        <v>2082</v>
      </c>
    </row>
    <row r="328" spans="42:43" x14ac:dyDescent="0.25">
      <c r="AP328">
        <v>20</v>
      </c>
      <c r="AQ328" t="s">
        <v>2083</v>
      </c>
    </row>
    <row r="329" spans="42:43" x14ac:dyDescent="0.25">
      <c r="AP329">
        <v>20</v>
      </c>
      <c r="AQ329" t="s">
        <v>2084</v>
      </c>
    </row>
    <row r="330" spans="42:43" x14ac:dyDescent="0.25">
      <c r="AP330">
        <v>20</v>
      </c>
      <c r="AQ330" t="s">
        <v>2085</v>
      </c>
    </row>
    <row r="331" spans="42:43" x14ac:dyDescent="0.25">
      <c r="AP331">
        <v>20</v>
      </c>
      <c r="AQ331" t="s">
        <v>2086</v>
      </c>
    </row>
    <row r="332" spans="42:43" x14ac:dyDescent="0.25">
      <c r="AP332">
        <v>20</v>
      </c>
      <c r="AQ332" t="s">
        <v>2087</v>
      </c>
    </row>
    <row r="333" spans="42:43" x14ac:dyDescent="0.25">
      <c r="AP333">
        <v>20</v>
      </c>
      <c r="AQ333" t="s">
        <v>2088</v>
      </c>
    </row>
    <row r="334" spans="42:43" x14ac:dyDescent="0.25">
      <c r="AP334">
        <v>20</v>
      </c>
      <c r="AQ334" t="s">
        <v>2089</v>
      </c>
    </row>
    <row r="335" spans="42:43" x14ac:dyDescent="0.25">
      <c r="AP335">
        <v>20</v>
      </c>
      <c r="AQ335" t="s">
        <v>2090</v>
      </c>
    </row>
    <row r="336" spans="42:43" x14ac:dyDescent="0.25">
      <c r="AP336">
        <v>20</v>
      </c>
      <c r="AQ336" t="s">
        <v>2091</v>
      </c>
    </row>
    <row r="337" spans="42:43" x14ac:dyDescent="0.25">
      <c r="AP337">
        <v>20</v>
      </c>
      <c r="AQ337" t="s">
        <v>2092</v>
      </c>
    </row>
    <row r="338" spans="42:43" x14ac:dyDescent="0.25">
      <c r="AP338">
        <v>20</v>
      </c>
      <c r="AQ338" t="s">
        <v>2093</v>
      </c>
    </row>
    <row r="339" spans="42:43" x14ac:dyDescent="0.25">
      <c r="AP339">
        <v>20</v>
      </c>
      <c r="AQ339" t="s">
        <v>2094</v>
      </c>
    </row>
    <row r="340" spans="42:43" x14ac:dyDescent="0.25">
      <c r="AP340">
        <v>20</v>
      </c>
      <c r="AQ340" t="s">
        <v>2095</v>
      </c>
    </row>
    <row r="341" spans="42:43" x14ac:dyDescent="0.25">
      <c r="AP341">
        <v>20</v>
      </c>
      <c r="AQ341" t="s">
        <v>2096</v>
      </c>
    </row>
    <row r="342" spans="42:43" x14ac:dyDescent="0.25">
      <c r="AP342">
        <v>20</v>
      </c>
      <c r="AQ342" t="s">
        <v>2097</v>
      </c>
    </row>
    <row r="343" spans="42:43" x14ac:dyDescent="0.25">
      <c r="AP343">
        <v>20</v>
      </c>
      <c r="AQ343" t="s">
        <v>2098</v>
      </c>
    </row>
    <row r="344" spans="42:43" x14ac:dyDescent="0.25">
      <c r="AP344">
        <v>20</v>
      </c>
      <c r="AQ344" t="s">
        <v>2099</v>
      </c>
    </row>
    <row r="345" spans="42:43" x14ac:dyDescent="0.25">
      <c r="AP345">
        <v>20</v>
      </c>
      <c r="AQ345" t="s">
        <v>2100</v>
      </c>
    </row>
    <row r="346" spans="42:43" x14ac:dyDescent="0.25">
      <c r="AP346">
        <v>20</v>
      </c>
      <c r="AQ346" t="s">
        <v>2101</v>
      </c>
    </row>
    <row r="347" spans="42:43" x14ac:dyDescent="0.25">
      <c r="AP347">
        <v>20</v>
      </c>
      <c r="AQ347" t="s">
        <v>2102</v>
      </c>
    </row>
    <row r="348" spans="42:43" x14ac:dyDescent="0.25">
      <c r="AP348">
        <v>20</v>
      </c>
      <c r="AQ348" t="s">
        <v>2103</v>
      </c>
    </row>
    <row r="349" spans="42:43" x14ac:dyDescent="0.25">
      <c r="AP349">
        <v>20</v>
      </c>
      <c r="AQ349" t="s">
        <v>2104</v>
      </c>
    </row>
    <row r="350" spans="42:43" x14ac:dyDescent="0.25">
      <c r="AP350">
        <v>20</v>
      </c>
      <c r="AQ350" t="s">
        <v>2105</v>
      </c>
    </row>
    <row r="351" spans="42:43" x14ac:dyDescent="0.25">
      <c r="AP351">
        <v>20</v>
      </c>
      <c r="AQ351" t="s">
        <v>2106</v>
      </c>
    </row>
    <row r="352" spans="42:43" x14ac:dyDescent="0.25">
      <c r="AP352">
        <v>20</v>
      </c>
      <c r="AQ352" t="s">
        <v>2107</v>
      </c>
    </row>
    <row r="353" spans="42:43" x14ac:dyDescent="0.25">
      <c r="AP353">
        <v>20</v>
      </c>
      <c r="AQ353" t="s">
        <v>2108</v>
      </c>
    </row>
    <row r="354" spans="42:43" x14ac:dyDescent="0.25">
      <c r="AP354">
        <v>20</v>
      </c>
      <c r="AQ354" t="s">
        <v>2109</v>
      </c>
    </row>
    <row r="355" spans="42:43" x14ac:dyDescent="0.25">
      <c r="AP355">
        <v>20</v>
      </c>
      <c r="AQ355" t="s">
        <v>2110</v>
      </c>
    </row>
    <row r="356" spans="42:43" x14ac:dyDescent="0.25">
      <c r="AP356">
        <v>20</v>
      </c>
      <c r="AQ356" t="s">
        <v>2111</v>
      </c>
    </row>
    <row r="357" spans="42:43" x14ac:dyDescent="0.25">
      <c r="AP357">
        <v>20</v>
      </c>
      <c r="AQ357" t="s">
        <v>2112</v>
      </c>
    </row>
    <row r="358" spans="42:43" x14ac:dyDescent="0.25">
      <c r="AP358">
        <v>20</v>
      </c>
      <c r="AQ358" t="s">
        <v>2113</v>
      </c>
    </row>
    <row r="359" spans="42:43" x14ac:dyDescent="0.25">
      <c r="AP359">
        <v>20</v>
      </c>
      <c r="AQ359" t="s">
        <v>2114</v>
      </c>
    </row>
    <row r="360" spans="42:43" x14ac:dyDescent="0.25">
      <c r="AP360">
        <v>20</v>
      </c>
      <c r="AQ360" t="s">
        <v>2115</v>
      </c>
    </row>
    <row r="361" spans="42:43" x14ac:dyDescent="0.25">
      <c r="AP361">
        <v>20</v>
      </c>
      <c r="AQ361" t="s">
        <v>2116</v>
      </c>
    </row>
    <row r="362" spans="42:43" x14ac:dyDescent="0.25">
      <c r="AP362">
        <v>20</v>
      </c>
      <c r="AQ362" t="s">
        <v>2117</v>
      </c>
    </row>
    <row r="363" spans="42:43" x14ac:dyDescent="0.25">
      <c r="AP363">
        <v>20</v>
      </c>
      <c r="AQ363" t="s">
        <v>2118</v>
      </c>
    </row>
    <row r="364" spans="42:43" x14ac:dyDescent="0.25">
      <c r="AP364">
        <v>20</v>
      </c>
      <c r="AQ364" t="s">
        <v>2119</v>
      </c>
    </row>
    <row r="365" spans="42:43" x14ac:dyDescent="0.25">
      <c r="AP365">
        <v>20</v>
      </c>
      <c r="AQ365" t="s">
        <v>2120</v>
      </c>
    </row>
    <row r="366" spans="42:43" x14ac:dyDescent="0.25">
      <c r="AP366">
        <v>20</v>
      </c>
      <c r="AQ366" t="s">
        <v>2121</v>
      </c>
    </row>
    <row r="367" spans="42:43" x14ac:dyDescent="0.25">
      <c r="AP367">
        <v>20</v>
      </c>
      <c r="AQ367" t="s">
        <v>2122</v>
      </c>
    </row>
    <row r="368" spans="42:43" x14ac:dyDescent="0.25">
      <c r="AP368">
        <v>20</v>
      </c>
      <c r="AQ368" t="s">
        <v>2123</v>
      </c>
    </row>
    <row r="369" spans="42:43" x14ac:dyDescent="0.25">
      <c r="AP369">
        <v>20</v>
      </c>
      <c r="AQ369" t="s">
        <v>2124</v>
      </c>
    </row>
    <row r="370" spans="42:43" x14ac:dyDescent="0.25">
      <c r="AP370">
        <v>20</v>
      </c>
      <c r="AQ370" t="s">
        <v>2125</v>
      </c>
    </row>
    <row r="371" spans="42:43" x14ac:dyDescent="0.25">
      <c r="AP371">
        <v>20</v>
      </c>
      <c r="AQ371" t="s">
        <v>2126</v>
      </c>
    </row>
    <row r="372" spans="42:43" x14ac:dyDescent="0.25">
      <c r="AP372">
        <v>20</v>
      </c>
      <c r="AQ372" t="s">
        <v>2127</v>
      </c>
    </row>
    <row r="373" spans="42:43" x14ac:dyDescent="0.25">
      <c r="AP373">
        <v>20</v>
      </c>
      <c r="AQ373" t="s">
        <v>2128</v>
      </c>
    </row>
    <row r="374" spans="42:43" x14ac:dyDescent="0.25">
      <c r="AP374">
        <v>20</v>
      </c>
      <c r="AQ374" t="s">
        <v>2129</v>
      </c>
    </row>
    <row r="375" spans="42:43" x14ac:dyDescent="0.25">
      <c r="AP375">
        <v>20</v>
      </c>
      <c r="AQ375" t="s">
        <v>2130</v>
      </c>
    </row>
    <row r="376" spans="42:43" x14ac:dyDescent="0.25">
      <c r="AP376">
        <v>20</v>
      </c>
      <c r="AQ376" t="s">
        <v>2131</v>
      </c>
    </row>
    <row r="377" spans="42:43" x14ac:dyDescent="0.25">
      <c r="AP377">
        <v>20</v>
      </c>
      <c r="AQ377" t="s">
        <v>2132</v>
      </c>
    </row>
    <row r="378" spans="42:43" x14ac:dyDescent="0.25">
      <c r="AP378">
        <v>20</v>
      </c>
      <c r="AQ378" t="s">
        <v>2133</v>
      </c>
    </row>
    <row r="379" spans="42:43" x14ac:dyDescent="0.25">
      <c r="AP379">
        <v>20</v>
      </c>
      <c r="AQ379" t="s">
        <v>2134</v>
      </c>
    </row>
    <row r="380" spans="42:43" x14ac:dyDescent="0.25">
      <c r="AP380">
        <v>20</v>
      </c>
      <c r="AQ380" t="s">
        <v>2135</v>
      </c>
    </row>
    <row r="381" spans="42:43" x14ac:dyDescent="0.25">
      <c r="AP381">
        <v>20</v>
      </c>
      <c r="AQ381" t="s">
        <v>2136</v>
      </c>
    </row>
    <row r="382" spans="42:43" x14ac:dyDescent="0.25">
      <c r="AP382">
        <v>20</v>
      </c>
      <c r="AQ382" t="s">
        <v>2137</v>
      </c>
    </row>
    <row r="383" spans="42:43" x14ac:dyDescent="0.25">
      <c r="AP383">
        <v>20</v>
      </c>
      <c r="AQ383" t="s">
        <v>2138</v>
      </c>
    </row>
    <row r="384" spans="42:43" x14ac:dyDescent="0.25">
      <c r="AP384">
        <v>20</v>
      </c>
      <c r="AQ384" t="s">
        <v>2139</v>
      </c>
    </row>
    <row r="385" spans="42:43" x14ac:dyDescent="0.25">
      <c r="AP385">
        <v>20</v>
      </c>
      <c r="AQ385" t="s">
        <v>2140</v>
      </c>
    </row>
    <row r="386" spans="42:43" x14ac:dyDescent="0.25">
      <c r="AP386">
        <v>20</v>
      </c>
      <c r="AQ386" t="s">
        <v>2141</v>
      </c>
    </row>
    <row r="387" spans="42:43" x14ac:dyDescent="0.25">
      <c r="AP387">
        <v>20</v>
      </c>
      <c r="AQ387" t="s">
        <v>2142</v>
      </c>
    </row>
    <row r="388" spans="42:43" x14ac:dyDescent="0.25">
      <c r="AP388">
        <v>20</v>
      </c>
      <c r="AQ388" t="s">
        <v>2143</v>
      </c>
    </row>
    <row r="389" spans="42:43" x14ac:dyDescent="0.25">
      <c r="AP389">
        <v>20</v>
      </c>
      <c r="AQ389" t="s">
        <v>2144</v>
      </c>
    </row>
    <row r="390" spans="42:43" x14ac:dyDescent="0.25">
      <c r="AP390">
        <v>20</v>
      </c>
      <c r="AQ390" t="s">
        <v>2145</v>
      </c>
    </row>
    <row r="391" spans="42:43" x14ac:dyDescent="0.25">
      <c r="AP391">
        <v>20</v>
      </c>
      <c r="AQ391" t="s">
        <v>2146</v>
      </c>
    </row>
    <row r="392" spans="42:43" x14ac:dyDescent="0.25">
      <c r="AP392">
        <v>20</v>
      </c>
      <c r="AQ392" t="s">
        <v>2147</v>
      </c>
    </row>
    <row r="393" spans="42:43" x14ac:dyDescent="0.25">
      <c r="AP393">
        <v>20</v>
      </c>
      <c r="AQ393" t="s">
        <v>2148</v>
      </c>
    </row>
    <row r="394" spans="42:43" x14ac:dyDescent="0.25">
      <c r="AP394">
        <v>20</v>
      </c>
      <c r="AQ394" t="s">
        <v>2149</v>
      </c>
    </row>
    <row r="395" spans="42:43" x14ac:dyDescent="0.25">
      <c r="AP395">
        <v>20</v>
      </c>
      <c r="AQ395" t="s">
        <v>2150</v>
      </c>
    </row>
    <row r="396" spans="42:43" x14ac:dyDescent="0.25">
      <c r="AP396">
        <v>20</v>
      </c>
      <c r="AQ396" t="s">
        <v>2151</v>
      </c>
    </row>
    <row r="397" spans="42:43" x14ac:dyDescent="0.25">
      <c r="AP397">
        <v>20</v>
      </c>
      <c r="AQ397" t="s">
        <v>2152</v>
      </c>
    </row>
    <row r="398" spans="42:43" x14ac:dyDescent="0.25">
      <c r="AP398">
        <v>20</v>
      </c>
      <c r="AQ398" t="s">
        <v>2153</v>
      </c>
    </row>
    <row r="399" spans="42:43" x14ac:dyDescent="0.25">
      <c r="AP399">
        <v>20</v>
      </c>
      <c r="AQ399" t="s">
        <v>2154</v>
      </c>
    </row>
    <row r="400" spans="42:43" x14ac:dyDescent="0.25">
      <c r="AP400">
        <v>20</v>
      </c>
      <c r="AQ400" t="s">
        <v>2155</v>
      </c>
    </row>
    <row r="401" spans="42:43" x14ac:dyDescent="0.25">
      <c r="AP401">
        <v>20</v>
      </c>
      <c r="AQ401" t="s">
        <v>2156</v>
      </c>
    </row>
    <row r="402" spans="42:43" x14ac:dyDescent="0.25">
      <c r="AP402">
        <v>20</v>
      </c>
      <c r="AQ402" t="s">
        <v>2157</v>
      </c>
    </row>
    <row r="403" spans="42:43" x14ac:dyDescent="0.25">
      <c r="AP403">
        <v>20</v>
      </c>
      <c r="AQ403" t="s">
        <v>2158</v>
      </c>
    </row>
    <row r="404" spans="42:43" x14ac:dyDescent="0.25">
      <c r="AP404">
        <v>20</v>
      </c>
      <c r="AQ404" t="s">
        <v>2159</v>
      </c>
    </row>
    <row r="405" spans="42:43" x14ac:dyDescent="0.25">
      <c r="AP405">
        <v>20</v>
      </c>
      <c r="AQ405" t="s">
        <v>2160</v>
      </c>
    </row>
    <row r="406" spans="42:43" x14ac:dyDescent="0.25">
      <c r="AP406">
        <v>20</v>
      </c>
      <c r="AQ406" t="s">
        <v>2161</v>
      </c>
    </row>
    <row r="407" spans="42:43" x14ac:dyDescent="0.25">
      <c r="AP407">
        <v>20</v>
      </c>
      <c r="AQ407" t="s">
        <v>2162</v>
      </c>
    </row>
    <row r="408" spans="42:43" x14ac:dyDescent="0.25">
      <c r="AP408">
        <v>20</v>
      </c>
      <c r="AQ408" t="s">
        <v>2163</v>
      </c>
    </row>
    <row r="409" spans="42:43" x14ac:dyDescent="0.25">
      <c r="AP409">
        <v>20</v>
      </c>
      <c r="AQ409" t="s">
        <v>2164</v>
      </c>
    </row>
    <row r="410" spans="42:43" x14ac:dyDescent="0.25">
      <c r="AP410">
        <v>20</v>
      </c>
      <c r="AQ410" t="s">
        <v>2165</v>
      </c>
    </row>
    <row r="411" spans="42:43" x14ac:dyDescent="0.25">
      <c r="AP411">
        <v>20</v>
      </c>
      <c r="AQ411" t="s">
        <v>2166</v>
      </c>
    </row>
    <row r="412" spans="42:43" x14ac:dyDescent="0.25">
      <c r="AP412">
        <v>20</v>
      </c>
      <c r="AQ412" t="s">
        <v>2167</v>
      </c>
    </row>
    <row r="413" spans="42:43" x14ac:dyDescent="0.25">
      <c r="AP413">
        <v>20</v>
      </c>
      <c r="AQ413" t="s">
        <v>2168</v>
      </c>
    </row>
    <row r="414" spans="42:43" x14ac:dyDescent="0.25">
      <c r="AP414">
        <v>20</v>
      </c>
      <c r="AQ414" t="s">
        <v>2169</v>
      </c>
    </row>
    <row r="415" spans="42:43" x14ac:dyDescent="0.25">
      <c r="AP415">
        <v>20</v>
      </c>
      <c r="AQ415" t="s">
        <v>2170</v>
      </c>
    </row>
    <row r="416" spans="42:43" x14ac:dyDescent="0.25">
      <c r="AP416">
        <v>20</v>
      </c>
      <c r="AQ416" t="s">
        <v>2171</v>
      </c>
    </row>
    <row r="417" spans="42:43" x14ac:dyDescent="0.25">
      <c r="AP417">
        <v>20</v>
      </c>
      <c r="AQ417" t="s">
        <v>2172</v>
      </c>
    </row>
    <row r="418" spans="42:43" x14ac:dyDescent="0.25">
      <c r="AP418">
        <v>20</v>
      </c>
      <c r="AQ418" t="s">
        <v>2173</v>
      </c>
    </row>
    <row r="419" spans="42:43" x14ac:dyDescent="0.25">
      <c r="AP419">
        <v>20</v>
      </c>
      <c r="AQ419" t="s">
        <v>2174</v>
      </c>
    </row>
    <row r="420" spans="42:43" x14ac:dyDescent="0.25">
      <c r="AP420">
        <v>20</v>
      </c>
      <c r="AQ420" t="s">
        <v>2175</v>
      </c>
    </row>
    <row r="421" spans="42:43" x14ac:dyDescent="0.25">
      <c r="AP421">
        <v>20</v>
      </c>
      <c r="AQ421" t="s">
        <v>2176</v>
      </c>
    </row>
    <row r="422" spans="42:43" x14ac:dyDescent="0.25">
      <c r="AP422">
        <v>20</v>
      </c>
      <c r="AQ422" t="s">
        <v>2177</v>
      </c>
    </row>
    <row r="423" spans="42:43" x14ac:dyDescent="0.25">
      <c r="AP423">
        <v>20</v>
      </c>
      <c r="AQ423" t="s">
        <v>2178</v>
      </c>
    </row>
    <row r="424" spans="42:43" x14ac:dyDescent="0.25">
      <c r="AP424">
        <v>20</v>
      </c>
      <c r="AQ424" t="s">
        <v>2179</v>
      </c>
    </row>
    <row r="425" spans="42:43" x14ac:dyDescent="0.25">
      <c r="AP425">
        <v>20</v>
      </c>
      <c r="AQ425" t="s">
        <v>2180</v>
      </c>
    </row>
    <row r="426" spans="42:43" x14ac:dyDescent="0.25">
      <c r="AP426">
        <v>20</v>
      </c>
      <c r="AQ426" t="s">
        <v>2181</v>
      </c>
    </row>
    <row r="427" spans="42:43" x14ac:dyDescent="0.25">
      <c r="AP427">
        <v>20</v>
      </c>
      <c r="AQ427" t="s">
        <v>2182</v>
      </c>
    </row>
    <row r="428" spans="42:43" x14ac:dyDescent="0.25">
      <c r="AP428">
        <v>20</v>
      </c>
      <c r="AQ428" t="s">
        <v>2183</v>
      </c>
    </row>
    <row r="429" spans="42:43" x14ac:dyDescent="0.25">
      <c r="AP429">
        <v>20</v>
      </c>
      <c r="AQ429" t="s">
        <v>2184</v>
      </c>
    </row>
    <row r="430" spans="42:43" x14ac:dyDescent="0.25">
      <c r="AP430">
        <v>20</v>
      </c>
      <c r="AQ430" t="s">
        <v>2185</v>
      </c>
    </row>
    <row r="431" spans="42:43" x14ac:dyDescent="0.25">
      <c r="AP431">
        <v>20</v>
      </c>
      <c r="AQ431" t="s">
        <v>2186</v>
      </c>
    </row>
    <row r="432" spans="42:43" x14ac:dyDescent="0.25">
      <c r="AP432">
        <v>20</v>
      </c>
      <c r="AQ432" t="s">
        <v>2187</v>
      </c>
    </row>
    <row r="433" spans="42:43" x14ac:dyDescent="0.25">
      <c r="AP433">
        <v>20</v>
      </c>
      <c r="AQ433" t="s">
        <v>2188</v>
      </c>
    </row>
    <row r="434" spans="42:43" x14ac:dyDescent="0.25">
      <c r="AP434">
        <v>20</v>
      </c>
      <c r="AQ434" t="s">
        <v>2189</v>
      </c>
    </row>
    <row r="435" spans="42:43" x14ac:dyDescent="0.25">
      <c r="AP435">
        <v>20</v>
      </c>
      <c r="AQ435" t="s">
        <v>2190</v>
      </c>
    </row>
    <row r="436" spans="42:43" x14ac:dyDescent="0.25">
      <c r="AP436">
        <v>20</v>
      </c>
      <c r="AQ436" t="s">
        <v>2191</v>
      </c>
    </row>
    <row r="437" spans="42:43" x14ac:dyDescent="0.25">
      <c r="AP437">
        <v>20</v>
      </c>
      <c r="AQ437" t="s">
        <v>2192</v>
      </c>
    </row>
    <row r="438" spans="42:43" x14ac:dyDescent="0.25">
      <c r="AP438">
        <v>20</v>
      </c>
      <c r="AQ438" t="s">
        <v>2193</v>
      </c>
    </row>
    <row r="439" spans="42:43" x14ac:dyDescent="0.25">
      <c r="AP439">
        <v>20</v>
      </c>
      <c r="AQ439" t="s">
        <v>2194</v>
      </c>
    </row>
    <row r="440" spans="42:43" x14ac:dyDescent="0.25">
      <c r="AP440">
        <v>20</v>
      </c>
      <c r="AQ440" t="s">
        <v>2195</v>
      </c>
    </row>
    <row r="441" spans="42:43" x14ac:dyDescent="0.25">
      <c r="AP441">
        <v>20</v>
      </c>
      <c r="AQ441" t="s">
        <v>2196</v>
      </c>
    </row>
    <row r="442" spans="42:43" x14ac:dyDescent="0.25">
      <c r="AP442">
        <v>20</v>
      </c>
      <c r="AQ442" t="s">
        <v>2197</v>
      </c>
    </row>
    <row r="443" spans="42:43" x14ac:dyDescent="0.25">
      <c r="AP443">
        <v>20</v>
      </c>
      <c r="AQ443" t="s">
        <v>2198</v>
      </c>
    </row>
    <row r="444" spans="42:43" x14ac:dyDescent="0.25">
      <c r="AP444">
        <v>20</v>
      </c>
      <c r="AQ444" t="s">
        <v>2199</v>
      </c>
    </row>
    <row r="445" spans="42:43" x14ac:dyDescent="0.25">
      <c r="AP445">
        <v>20</v>
      </c>
      <c r="AQ445" t="s">
        <v>2200</v>
      </c>
    </row>
    <row r="446" spans="42:43" x14ac:dyDescent="0.25">
      <c r="AP446">
        <v>20</v>
      </c>
      <c r="AQ446" t="s">
        <v>2201</v>
      </c>
    </row>
    <row r="447" spans="42:43" x14ac:dyDescent="0.25">
      <c r="AP447">
        <v>20</v>
      </c>
      <c r="AQ447" t="s">
        <v>2202</v>
      </c>
    </row>
    <row r="448" spans="42:43" x14ac:dyDescent="0.25">
      <c r="AP448">
        <v>20</v>
      </c>
      <c r="AQ448" t="s">
        <v>2203</v>
      </c>
    </row>
    <row r="449" spans="42:43" x14ac:dyDescent="0.25">
      <c r="AP449">
        <v>20</v>
      </c>
      <c r="AQ449" t="s">
        <v>2204</v>
      </c>
    </row>
    <row r="450" spans="42:43" x14ac:dyDescent="0.25">
      <c r="AP450">
        <v>20</v>
      </c>
      <c r="AQ450" t="s">
        <v>2205</v>
      </c>
    </row>
    <row r="451" spans="42:43" x14ac:dyDescent="0.25">
      <c r="AP451">
        <v>20</v>
      </c>
      <c r="AQ451" t="s">
        <v>2206</v>
      </c>
    </row>
    <row r="452" spans="42:43" x14ac:dyDescent="0.25">
      <c r="AP452">
        <v>20</v>
      </c>
      <c r="AQ452" t="s">
        <v>2207</v>
      </c>
    </row>
    <row r="453" spans="42:43" x14ac:dyDescent="0.25">
      <c r="AP453">
        <v>20</v>
      </c>
      <c r="AQ453" t="s">
        <v>2208</v>
      </c>
    </row>
    <row r="454" spans="42:43" x14ac:dyDescent="0.25">
      <c r="AP454">
        <v>20</v>
      </c>
      <c r="AQ454" t="s">
        <v>2209</v>
      </c>
    </row>
    <row r="455" spans="42:43" x14ac:dyDescent="0.25">
      <c r="AP455">
        <v>20</v>
      </c>
      <c r="AQ455" t="s">
        <v>2210</v>
      </c>
    </row>
    <row r="456" spans="42:43" x14ac:dyDescent="0.25">
      <c r="AP456">
        <v>20</v>
      </c>
      <c r="AQ456" t="s">
        <v>2211</v>
      </c>
    </row>
    <row r="457" spans="42:43" x14ac:dyDescent="0.25">
      <c r="AP457">
        <v>20</v>
      </c>
      <c r="AQ457" t="s">
        <v>2212</v>
      </c>
    </row>
    <row r="458" spans="42:43" x14ac:dyDescent="0.25">
      <c r="AP458">
        <v>20</v>
      </c>
      <c r="AQ458" t="s">
        <v>2213</v>
      </c>
    </row>
    <row r="459" spans="42:43" x14ac:dyDescent="0.25">
      <c r="AP459">
        <v>20</v>
      </c>
      <c r="AQ459" t="s">
        <v>2214</v>
      </c>
    </row>
    <row r="460" spans="42:43" x14ac:dyDescent="0.25">
      <c r="AP460">
        <v>20</v>
      </c>
      <c r="AQ460" t="s">
        <v>2215</v>
      </c>
    </row>
    <row r="461" spans="42:43" x14ac:dyDescent="0.25">
      <c r="AP461">
        <v>20</v>
      </c>
      <c r="AQ461" t="s">
        <v>2216</v>
      </c>
    </row>
    <row r="462" spans="42:43" x14ac:dyDescent="0.25">
      <c r="AP462">
        <v>20</v>
      </c>
      <c r="AQ462" t="s">
        <v>2217</v>
      </c>
    </row>
    <row r="463" spans="42:43" x14ac:dyDescent="0.25">
      <c r="AP463">
        <v>20</v>
      </c>
      <c r="AQ463" t="s">
        <v>2218</v>
      </c>
    </row>
    <row r="464" spans="42:43" x14ac:dyDescent="0.25">
      <c r="AP464">
        <v>20</v>
      </c>
      <c r="AQ464" t="s">
        <v>2219</v>
      </c>
    </row>
    <row r="465" spans="42:43" x14ac:dyDescent="0.25">
      <c r="AP465">
        <v>20</v>
      </c>
      <c r="AQ465" t="s">
        <v>2220</v>
      </c>
    </row>
    <row r="466" spans="42:43" x14ac:dyDescent="0.25">
      <c r="AP466">
        <v>20</v>
      </c>
      <c r="AQ466" t="s">
        <v>2221</v>
      </c>
    </row>
    <row r="467" spans="42:43" x14ac:dyDescent="0.25">
      <c r="AP467">
        <v>20</v>
      </c>
      <c r="AQ467" t="s">
        <v>2222</v>
      </c>
    </row>
    <row r="468" spans="42:43" x14ac:dyDescent="0.25">
      <c r="AP468">
        <v>20</v>
      </c>
      <c r="AQ468" t="s">
        <v>2223</v>
      </c>
    </row>
    <row r="469" spans="42:43" x14ac:dyDescent="0.25">
      <c r="AP469">
        <v>20</v>
      </c>
      <c r="AQ469" t="s">
        <v>2224</v>
      </c>
    </row>
    <row r="470" spans="42:43" x14ac:dyDescent="0.25">
      <c r="AP470">
        <v>20</v>
      </c>
      <c r="AQ470" t="s">
        <v>2225</v>
      </c>
    </row>
    <row r="471" spans="42:43" x14ac:dyDescent="0.25">
      <c r="AP471">
        <v>20</v>
      </c>
      <c r="AQ471" t="s">
        <v>2226</v>
      </c>
    </row>
    <row r="472" spans="42:43" x14ac:dyDescent="0.25">
      <c r="AP472">
        <v>20</v>
      </c>
      <c r="AQ472" t="s">
        <v>2227</v>
      </c>
    </row>
    <row r="473" spans="42:43" x14ac:dyDescent="0.25">
      <c r="AP473">
        <v>20</v>
      </c>
      <c r="AQ473" t="s">
        <v>2228</v>
      </c>
    </row>
    <row r="474" spans="42:43" x14ac:dyDescent="0.25">
      <c r="AP474">
        <v>20</v>
      </c>
      <c r="AQ474" t="s">
        <v>2229</v>
      </c>
    </row>
    <row r="475" spans="42:43" x14ac:dyDescent="0.25">
      <c r="AP475">
        <v>20</v>
      </c>
      <c r="AQ475" t="s">
        <v>2230</v>
      </c>
    </row>
    <row r="476" spans="42:43" x14ac:dyDescent="0.25">
      <c r="AP476">
        <v>20</v>
      </c>
      <c r="AQ476" t="s">
        <v>2231</v>
      </c>
    </row>
    <row r="477" spans="42:43" x14ac:dyDescent="0.25">
      <c r="AP477">
        <v>20</v>
      </c>
      <c r="AQ477" t="s">
        <v>2232</v>
      </c>
    </row>
    <row r="478" spans="42:43" x14ac:dyDescent="0.25">
      <c r="AP478">
        <v>20</v>
      </c>
      <c r="AQ478" t="s">
        <v>2233</v>
      </c>
    </row>
    <row r="479" spans="42:43" x14ac:dyDescent="0.25">
      <c r="AP479">
        <v>20</v>
      </c>
      <c r="AQ479" t="s">
        <v>2234</v>
      </c>
    </row>
    <row r="480" spans="42:43" x14ac:dyDescent="0.25">
      <c r="AP480">
        <v>20</v>
      </c>
      <c r="AQ480" t="s">
        <v>2235</v>
      </c>
    </row>
    <row r="481" spans="42:43" x14ac:dyDescent="0.25">
      <c r="AP481">
        <v>20</v>
      </c>
      <c r="AQ481" t="s">
        <v>2236</v>
      </c>
    </row>
    <row r="482" spans="42:43" x14ac:dyDescent="0.25">
      <c r="AP482">
        <v>20</v>
      </c>
      <c r="AQ482" t="s">
        <v>2237</v>
      </c>
    </row>
    <row r="483" spans="42:43" x14ac:dyDescent="0.25">
      <c r="AP483">
        <v>20</v>
      </c>
      <c r="AQ483" t="s">
        <v>2238</v>
      </c>
    </row>
    <row r="484" spans="42:43" x14ac:dyDescent="0.25">
      <c r="AP484">
        <v>20</v>
      </c>
      <c r="AQ484" t="s">
        <v>2239</v>
      </c>
    </row>
    <row r="485" spans="42:43" x14ac:dyDescent="0.25">
      <c r="AP485">
        <v>20</v>
      </c>
      <c r="AQ485" t="s">
        <v>2240</v>
      </c>
    </row>
    <row r="486" spans="42:43" x14ac:dyDescent="0.25">
      <c r="AP486">
        <v>20</v>
      </c>
      <c r="AQ486" t="s">
        <v>2241</v>
      </c>
    </row>
    <row r="487" spans="42:43" x14ac:dyDescent="0.25">
      <c r="AP487">
        <v>20</v>
      </c>
      <c r="AQ487" t="s">
        <v>2242</v>
      </c>
    </row>
    <row r="488" spans="42:43" x14ac:dyDescent="0.25">
      <c r="AP488">
        <v>20</v>
      </c>
      <c r="AQ488" t="s">
        <v>2243</v>
      </c>
    </row>
    <row r="489" spans="42:43" x14ac:dyDescent="0.25">
      <c r="AP489">
        <v>20</v>
      </c>
      <c r="AQ489" t="s">
        <v>2244</v>
      </c>
    </row>
    <row r="490" spans="42:43" x14ac:dyDescent="0.25">
      <c r="AP490">
        <v>20</v>
      </c>
      <c r="AQ490" t="s">
        <v>2245</v>
      </c>
    </row>
    <row r="491" spans="42:43" x14ac:dyDescent="0.25">
      <c r="AP491">
        <v>20</v>
      </c>
      <c r="AQ491" t="s">
        <v>2246</v>
      </c>
    </row>
    <row r="492" spans="42:43" x14ac:dyDescent="0.25">
      <c r="AP492">
        <v>20</v>
      </c>
      <c r="AQ492" t="s">
        <v>2247</v>
      </c>
    </row>
    <row r="493" spans="42:43" x14ac:dyDescent="0.25">
      <c r="AP493">
        <v>20</v>
      </c>
      <c r="AQ493" t="s">
        <v>2248</v>
      </c>
    </row>
    <row r="494" spans="42:43" x14ac:dyDescent="0.25">
      <c r="AP494">
        <v>20</v>
      </c>
      <c r="AQ494" t="s">
        <v>2249</v>
      </c>
    </row>
    <row r="495" spans="42:43" x14ac:dyDescent="0.25">
      <c r="AP495">
        <v>20</v>
      </c>
      <c r="AQ495" t="s">
        <v>2250</v>
      </c>
    </row>
    <row r="496" spans="42:43" x14ac:dyDescent="0.25">
      <c r="AP496">
        <v>20</v>
      </c>
      <c r="AQ496" t="s">
        <v>2251</v>
      </c>
    </row>
    <row r="497" spans="42:43" x14ac:dyDescent="0.25">
      <c r="AP497">
        <v>20</v>
      </c>
      <c r="AQ497" t="s">
        <v>2252</v>
      </c>
    </row>
    <row r="498" spans="42:43" x14ac:dyDescent="0.25">
      <c r="AP498">
        <v>20</v>
      </c>
      <c r="AQ498" t="s">
        <v>2253</v>
      </c>
    </row>
    <row r="499" spans="42:43" x14ac:dyDescent="0.25">
      <c r="AP499">
        <v>20</v>
      </c>
      <c r="AQ499" t="s">
        <v>2254</v>
      </c>
    </row>
    <row r="500" spans="42:43" x14ac:dyDescent="0.25">
      <c r="AP500">
        <v>20</v>
      </c>
      <c r="AQ500" t="s">
        <v>2255</v>
      </c>
    </row>
    <row r="501" spans="42:43" x14ac:dyDescent="0.25">
      <c r="AP501">
        <v>20</v>
      </c>
      <c r="AQ501" t="s">
        <v>2256</v>
      </c>
    </row>
    <row r="502" spans="42:43" x14ac:dyDescent="0.25">
      <c r="AP502">
        <v>20</v>
      </c>
      <c r="AQ502" t="s">
        <v>2257</v>
      </c>
    </row>
    <row r="503" spans="42:43" x14ac:dyDescent="0.25">
      <c r="AP503">
        <v>20</v>
      </c>
      <c r="AQ503" t="s">
        <v>2258</v>
      </c>
    </row>
    <row r="504" spans="42:43" x14ac:dyDescent="0.25">
      <c r="AP504">
        <v>20</v>
      </c>
      <c r="AQ504" t="s">
        <v>2259</v>
      </c>
    </row>
    <row r="505" spans="42:43" x14ac:dyDescent="0.25">
      <c r="AP505">
        <v>20</v>
      </c>
      <c r="AQ505" t="s">
        <v>2260</v>
      </c>
    </row>
    <row r="506" spans="42:43" x14ac:dyDescent="0.25">
      <c r="AP506">
        <v>20</v>
      </c>
      <c r="AQ506" t="s">
        <v>2261</v>
      </c>
    </row>
    <row r="507" spans="42:43" x14ac:dyDescent="0.25">
      <c r="AP507">
        <v>20</v>
      </c>
      <c r="AQ507" t="s">
        <v>2262</v>
      </c>
    </row>
    <row r="508" spans="42:43" x14ac:dyDescent="0.25">
      <c r="AP508">
        <v>20</v>
      </c>
      <c r="AQ508" t="s">
        <v>2263</v>
      </c>
    </row>
    <row r="509" spans="42:43" x14ac:dyDescent="0.25">
      <c r="AP509">
        <v>20</v>
      </c>
      <c r="AQ509" t="s">
        <v>2264</v>
      </c>
    </row>
    <row r="510" spans="42:43" x14ac:dyDescent="0.25">
      <c r="AP510">
        <v>20</v>
      </c>
      <c r="AQ510" t="s">
        <v>2265</v>
      </c>
    </row>
    <row r="511" spans="42:43" x14ac:dyDescent="0.25">
      <c r="AP511">
        <v>20</v>
      </c>
      <c r="AQ511" t="s">
        <v>2266</v>
      </c>
    </row>
    <row r="512" spans="42:43" x14ac:dyDescent="0.25">
      <c r="AP512">
        <v>20</v>
      </c>
      <c r="AQ512" t="s">
        <v>2267</v>
      </c>
    </row>
    <row r="513" spans="42:43" x14ac:dyDescent="0.25">
      <c r="AP513">
        <v>20</v>
      </c>
      <c r="AQ513" t="s">
        <v>2268</v>
      </c>
    </row>
    <row r="514" spans="42:43" x14ac:dyDescent="0.25">
      <c r="AP514">
        <v>20</v>
      </c>
      <c r="AQ514" t="s">
        <v>2269</v>
      </c>
    </row>
    <row r="515" spans="42:43" x14ac:dyDescent="0.25">
      <c r="AP515">
        <v>20</v>
      </c>
      <c r="AQ515" t="s">
        <v>2270</v>
      </c>
    </row>
    <row r="516" spans="42:43" x14ac:dyDescent="0.25">
      <c r="AP516">
        <v>20</v>
      </c>
      <c r="AQ516" t="s">
        <v>2271</v>
      </c>
    </row>
    <row r="517" spans="42:43" x14ac:dyDescent="0.25">
      <c r="AP517">
        <v>20</v>
      </c>
      <c r="AQ517" t="s">
        <v>2272</v>
      </c>
    </row>
    <row r="518" spans="42:43" x14ac:dyDescent="0.25">
      <c r="AP518">
        <v>20</v>
      </c>
      <c r="AQ518" t="s">
        <v>2273</v>
      </c>
    </row>
    <row r="519" spans="42:43" x14ac:dyDescent="0.25">
      <c r="AP519">
        <v>20</v>
      </c>
      <c r="AQ519" t="s">
        <v>2274</v>
      </c>
    </row>
    <row r="520" spans="42:43" x14ac:dyDescent="0.25">
      <c r="AP520">
        <v>20</v>
      </c>
      <c r="AQ520" t="s">
        <v>2275</v>
      </c>
    </row>
    <row r="521" spans="42:43" x14ac:dyDescent="0.25">
      <c r="AP521">
        <v>20</v>
      </c>
      <c r="AQ521" t="s">
        <v>2276</v>
      </c>
    </row>
    <row r="522" spans="42:43" x14ac:dyDescent="0.25">
      <c r="AP522">
        <v>20</v>
      </c>
      <c r="AQ522" t="s">
        <v>2277</v>
      </c>
    </row>
    <row r="523" spans="42:43" x14ac:dyDescent="0.25">
      <c r="AP523">
        <v>20</v>
      </c>
      <c r="AQ523" t="s">
        <v>2278</v>
      </c>
    </row>
    <row r="524" spans="42:43" x14ac:dyDescent="0.25">
      <c r="AP524">
        <v>20</v>
      </c>
      <c r="AQ524" t="s">
        <v>2279</v>
      </c>
    </row>
    <row r="525" spans="42:43" x14ac:dyDescent="0.25">
      <c r="AP525">
        <v>20</v>
      </c>
      <c r="AQ525" t="s">
        <v>2280</v>
      </c>
    </row>
    <row r="526" spans="42:43" x14ac:dyDescent="0.25">
      <c r="AP526">
        <v>20</v>
      </c>
      <c r="AQ526" t="s">
        <v>2281</v>
      </c>
    </row>
    <row r="527" spans="42:43" x14ac:dyDescent="0.25">
      <c r="AP527">
        <v>20</v>
      </c>
      <c r="AQ527" t="s">
        <v>2282</v>
      </c>
    </row>
    <row r="528" spans="42:43" x14ac:dyDescent="0.25">
      <c r="AP528">
        <v>20</v>
      </c>
      <c r="AQ528" t="s">
        <v>2283</v>
      </c>
    </row>
    <row r="529" spans="42:43" x14ac:dyDescent="0.25">
      <c r="AP529">
        <v>20</v>
      </c>
      <c r="AQ529" t="s">
        <v>2284</v>
      </c>
    </row>
    <row r="530" spans="42:43" x14ac:dyDescent="0.25">
      <c r="AP530">
        <v>20</v>
      </c>
      <c r="AQ530" t="s">
        <v>2285</v>
      </c>
    </row>
    <row r="531" spans="42:43" x14ac:dyDescent="0.25">
      <c r="AP531">
        <v>20</v>
      </c>
      <c r="AQ531" t="s">
        <v>2286</v>
      </c>
    </row>
    <row r="532" spans="42:43" x14ac:dyDescent="0.25">
      <c r="AP532">
        <v>20</v>
      </c>
      <c r="AQ532" t="s">
        <v>2287</v>
      </c>
    </row>
    <row r="533" spans="42:43" x14ac:dyDescent="0.25">
      <c r="AP533">
        <v>20</v>
      </c>
      <c r="AQ533" t="s">
        <v>2288</v>
      </c>
    </row>
    <row r="534" spans="42:43" x14ac:dyDescent="0.25">
      <c r="AP534">
        <v>20</v>
      </c>
      <c r="AQ534" t="s">
        <v>2289</v>
      </c>
    </row>
    <row r="535" spans="42:43" x14ac:dyDescent="0.25">
      <c r="AP535">
        <v>20</v>
      </c>
      <c r="AQ535" t="s">
        <v>2290</v>
      </c>
    </row>
    <row r="536" spans="42:43" x14ac:dyDescent="0.25">
      <c r="AP536">
        <v>20</v>
      </c>
      <c r="AQ536" t="s">
        <v>2291</v>
      </c>
    </row>
    <row r="537" spans="42:43" x14ac:dyDescent="0.25">
      <c r="AP537">
        <v>20</v>
      </c>
      <c r="AQ537" t="s">
        <v>2292</v>
      </c>
    </row>
    <row r="538" spans="42:43" x14ac:dyDescent="0.25">
      <c r="AP538">
        <v>20</v>
      </c>
      <c r="AQ538" t="s">
        <v>2293</v>
      </c>
    </row>
    <row r="539" spans="42:43" x14ac:dyDescent="0.25">
      <c r="AP539">
        <v>20</v>
      </c>
      <c r="AQ539" t="s">
        <v>2294</v>
      </c>
    </row>
    <row r="540" spans="42:43" x14ac:dyDescent="0.25">
      <c r="AP540">
        <v>20</v>
      </c>
      <c r="AQ540" t="s">
        <v>2295</v>
      </c>
    </row>
    <row r="541" spans="42:43" x14ac:dyDescent="0.25">
      <c r="AP541">
        <v>20</v>
      </c>
      <c r="AQ541" t="s">
        <v>2296</v>
      </c>
    </row>
    <row r="542" spans="42:43" x14ac:dyDescent="0.25">
      <c r="AP542">
        <v>20</v>
      </c>
      <c r="AQ542" t="s">
        <v>2297</v>
      </c>
    </row>
    <row r="543" spans="42:43" x14ac:dyDescent="0.25">
      <c r="AP543">
        <v>20</v>
      </c>
      <c r="AQ543" t="s">
        <v>2298</v>
      </c>
    </row>
    <row r="544" spans="42:43" x14ac:dyDescent="0.25">
      <c r="AP544">
        <v>20</v>
      </c>
      <c r="AQ544" t="s">
        <v>2299</v>
      </c>
    </row>
    <row r="545" spans="42:43" x14ac:dyDescent="0.25">
      <c r="AP545">
        <v>20</v>
      </c>
      <c r="AQ545" t="s">
        <v>2300</v>
      </c>
    </row>
    <row r="546" spans="42:43" x14ac:dyDescent="0.25">
      <c r="AP546">
        <v>20</v>
      </c>
      <c r="AQ546" t="s">
        <v>2301</v>
      </c>
    </row>
    <row r="547" spans="42:43" x14ac:dyDescent="0.25">
      <c r="AP547">
        <v>20</v>
      </c>
      <c r="AQ547" t="s">
        <v>2302</v>
      </c>
    </row>
    <row r="548" spans="42:43" x14ac:dyDescent="0.25">
      <c r="AP548">
        <v>20</v>
      </c>
      <c r="AQ548" t="s">
        <v>2303</v>
      </c>
    </row>
    <row r="549" spans="42:43" x14ac:dyDescent="0.25">
      <c r="AP549">
        <v>20</v>
      </c>
      <c r="AQ549" t="s">
        <v>2304</v>
      </c>
    </row>
    <row r="550" spans="42:43" x14ac:dyDescent="0.25">
      <c r="AP550">
        <v>20</v>
      </c>
      <c r="AQ550" t="s">
        <v>2305</v>
      </c>
    </row>
    <row r="551" spans="42:43" x14ac:dyDescent="0.25">
      <c r="AP551">
        <v>20</v>
      </c>
      <c r="AQ551" t="s">
        <v>2306</v>
      </c>
    </row>
    <row r="552" spans="42:43" x14ac:dyDescent="0.25">
      <c r="AP552">
        <v>20</v>
      </c>
      <c r="AQ552" t="s">
        <v>2307</v>
      </c>
    </row>
    <row r="553" spans="42:43" x14ac:dyDescent="0.25">
      <c r="AP553">
        <v>20</v>
      </c>
      <c r="AQ553" t="s">
        <v>2308</v>
      </c>
    </row>
    <row r="554" spans="42:43" x14ac:dyDescent="0.25">
      <c r="AP554">
        <v>20</v>
      </c>
      <c r="AQ554" t="s">
        <v>2309</v>
      </c>
    </row>
    <row r="555" spans="42:43" x14ac:dyDescent="0.25">
      <c r="AP555">
        <v>20</v>
      </c>
      <c r="AQ555" t="s">
        <v>2310</v>
      </c>
    </row>
    <row r="556" spans="42:43" x14ac:dyDescent="0.25">
      <c r="AP556">
        <v>20</v>
      </c>
      <c r="AQ556" t="s">
        <v>2311</v>
      </c>
    </row>
    <row r="557" spans="42:43" x14ac:dyDescent="0.25">
      <c r="AP557">
        <v>20</v>
      </c>
      <c r="AQ557" t="s">
        <v>2312</v>
      </c>
    </row>
    <row r="558" spans="42:43" x14ac:dyDescent="0.25">
      <c r="AP558">
        <v>20</v>
      </c>
      <c r="AQ558" t="s">
        <v>2313</v>
      </c>
    </row>
    <row r="559" spans="42:43" x14ac:dyDescent="0.25">
      <c r="AP559">
        <v>20</v>
      </c>
      <c r="AQ559" t="s">
        <v>2314</v>
      </c>
    </row>
    <row r="560" spans="42:43" x14ac:dyDescent="0.25">
      <c r="AP560">
        <v>20</v>
      </c>
      <c r="AQ560" t="s">
        <v>2315</v>
      </c>
    </row>
    <row r="561" spans="42:43" x14ac:dyDescent="0.25">
      <c r="AP561">
        <v>20</v>
      </c>
      <c r="AQ561" t="s">
        <v>2316</v>
      </c>
    </row>
    <row r="562" spans="42:43" x14ac:dyDescent="0.25">
      <c r="AP562">
        <v>20</v>
      </c>
      <c r="AQ562" t="s">
        <v>2317</v>
      </c>
    </row>
    <row r="563" spans="42:43" x14ac:dyDescent="0.25">
      <c r="AP563">
        <v>20</v>
      </c>
      <c r="AQ563" t="s">
        <v>1437</v>
      </c>
    </row>
    <row r="564" spans="42:43" x14ac:dyDescent="0.25">
      <c r="AP564">
        <v>20</v>
      </c>
      <c r="AQ564" t="s">
        <v>2318</v>
      </c>
    </row>
    <row r="565" spans="42:43" x14ac:dyDescent="0.25">
      <c r="AP565">
        <v>20</v>
      </c>
      <c r="AQ565" t="s">
        <v>2319</v>
      </c>
    </row>
    <row r="566" spans="42:43" x14ac:dyDescent="0.25">
      <c r="AP566">
        <v>20</v>
      </c>
      <c r="AQ566" t="s">
        <v>2320</v>
      </c>
    </row>
    <row r="567" spans="42:43" x14ac:dyDescent="0.25">
      <c r="AP567">
        <v>20</v>
      </c>
      <c r="AQ567" t="s">
        <v>2321</v>
      </c>
    </row>
    <row r="568" spans="42:43" x14ac:dyDescent="0.25">
      <c r="AP568">
        <v>20</v>
      </c>
      <c r="AQ568" t="s">
        <v>2322</v>
      </c>
    </row>
    <row r="569" spans="42:43" x14ac:dyDescent="0.25">
      <c r="AP569">
        <v>20</v>
      </c>
      <c r="AQ569" t="s">
        <v>2323</v>
      </c>
    </row>
    <row r="570" spans="42:43" x14ac:dyDescent="0.25">
      <c r="AP570">
        <v>20</v>
      </c>
      <c r="AQ570" t="s">
        <v>2324</v>
      </c>
    </row>
    <row r="571" spans="42:43" x14ac:dyDescent="0.25">
      <c r="AP571">
        <v>20</v>
      </c>
      <c r="AQ571" t="s">
        <v>2325</v>
      </c>
    </row>
    <row r="572" spans="42:43" x14ac:dyDescent="0.25">
      <c r="AP572">
        <v>20</v>
      </c>
      <c r="AQ572" t="s">
        <v>2326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abSelected="1" topLeftCell="A8" zoomScale="90" zoomScaleNormal="90" workbookViewId="0">
      <selection activeCell="A66" sqref="A66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487</v>
      </c>
      <c r="B1" s="165"/>
      <c r="C1" s="165"/>
      <c r="D1" s="165"/>
      <c r="E1" s="165"/>
      <c r="F1" s="165"/>
      <c r="G1" s="111"/>
    </row>
    <row r="2" spans="1:7" x14ac:dyDescent="0.25">
      <c r="A2" s="153" t="str">
        <f>ENTE_PUBLICO</f>
        <v>Municipio de Santa Catarina, Gobierno del Estado de Guanajuato</v>
      </c>
      <c r="B2" s="154"/>
      <c r="C2" s="154"/>
      <c r="D2" s="154"/>
      <c r="E2" s="154"/>
      <c r="F2" s="155"/>
    </row>
    <row r="3" spans="1:7" x14ac:dyDescent="0.25">
      <c r="A3" s="162" t="s">
        <v>488</v>
      </c>
      <c r="B3" s="163"/>
      <c r="C3" s="163"/>
      <c r="D3" s="163"/>
      <c r="E3" s="163"/>
      <c r="F3" s="164"/>
    </row>
    <row r="4" spans="1:7" ht="30" x14ac:dyDescent="0.25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 x14ac:dyDescent="0.25">
      <c r="A5" s="136" t="s">
        <v>494</v>
      </c>
      <c r="B5" s="5"/>
      <c r="C5" s="5"/>
      <c r="D5" s="5"/>
      <c r="E5" s="5"/>
      <c r="F5" s="5"/>
    </row>
    <row r="6" spans="1:7" ht="30" x14ac:dyDescent="0.25">
      <c r="A6" s="137" t="s">
        <v>495</v>
      </c>
      <c r="B6" s="60"/>
      <c r="C6" s="60"/>
      <c r="D6" s="60"/>
      <c r="E6" s="60"/>
      <c r="F6" s="60"/>
    </row>
    <row r="7" spans="1:7" x14ac:dyDescent="0.25">
      <c r="A7" s="137" t="s">
        <v>496</v>
      </c>
      <c r="B7" s="60"/>
      <c r="C7" s="60"/>
      <c r="D7" s="60"/>
      <c r="E7" s="60"/>
      <c r="F7" s="60"/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497</v>
      </c>
      <c r="B9" s="54"/>
      <c r="C9" s="54"/>
      <c r="D9" s="54"/>
      <c r="E9" s="54"/>
      <c r="F9" s="54"/>
    </row>
    <row r="10" spans="1:7" x14ac:dyDescent="0.25">
      <c r="A10" s="137" t="s">
        <v>498</v>
      </c>
      <c r="B10" s="60"/>
      <c r="C10" s="60"/>
      <c r="D10" s="60"/>
      <c r="E10" s="60"/>
      <c r="F10" s="60"/>
    </row>
    <row r="11" spans="1:7" x14ac:dyDescent="0.25">
      <c r="A11" s="139" t="s">
        <v>499</v>
      </c>
      <c r="B11" s="60"/>
      <c r="C11" s="60"/>
      <c r="D11" s="60"/>
      <c r="E11" s="60"/>
      <c r="F11" s="60"/>
    </row>
    <row r="12" spans="1:7" x14ac:dyDescent="0.25">
      <c r="A12" s="139" t="s">
        <v>500</v>
      </c>
      <c r="B12" s="60"/>
      <c r="C12" s="60"/>
      <c r="D12" s="60"/>
      <c r="E12" s="60"/>
      <c r="F12" s="60"/>
    </row>
    <row r="13" spans="1:7" x14ac:dyDescent="0.25">
      <c r="A13" s="139" t="s">
        <v>501</v>
      </c>
      <c r="B13" s="60"/>
      <c r="C13" s="60"/>
      <c r="D13" s="60"/>
      <c r="E13" s="60"/>
      <c r="F13" s="60"/>
    </row>
    <row r="14" spans="1:7" x14ac:dyDescent="0.25">
      <c r="A14" s="137" t="s">
        <v>502</v>
      </c>
      <c r="B14" s="60"/>
      <c r="C14" s="60"/>
      <c r="D14" s="60"/>
      <c r="E14" s="60"/>
      <c r="F14" s="60"/>
    </row>
    <row r="15" spans="1:7" x14ac:dyDescent="0.25">
      <c r="A15" s="139" t="s">
        <v>499</v>
      </c>
      <c r="B15" s="60"/>
      <c r="C15" s="60"/>
      <c r="D15" s="60"/>
      <c r="E15" s="60"/>
      <c r="F15" s="60"/>
    </row>
    <row r="16" spans="1:7" x14ac:dyDescent="0.25">
      <c r="A16" s="139" t="s">
        <v>500</v>
      </c>
      <c r="B16" s="60"/>
      <c r="C16" s="60"/>
      <c r="D16" s="60"/>
      <c r="E16" s="60"/>
      <c r="F16" s="60"/>
    </row>
    <row r="17" spans="1:6" x14ac:dyDescent="0.25">
      <c r="A17" s="139" t="s">
        <v>501</v>
      </c>
      <c r="B17" s="60"/>
      <c r="C17" s="60"/>
      <c r="D17" s="60"/>
      <c r="E17" s="60"/>
      <c r="F17" s="60"/>
    </row>
    <row r="18" spans="1:6" x14ac:dyDescent="0.25">
      <c r="A18" s="137" t="s">
        <v>503</v>
      </c>
      <c r="B18" s="145"/>
      <c r="C18" s="60"/>
      <c r="D18" s="60"/>
      <c r="E18" s="60"/>
      <c r="F18" s="60"/>
    </row>
    <row r="19" spans="1:6" x14ac:dyDescent="0.25">
      <c r="A19" s="137" t="s">
        <v>504</v>
      </c>
      <c r="B19" s="60"/>
      <c r="C19" s="60"/>
      <c r="D19" s="60"/>
      <c r="E19" s="60"/>
      <c r="F19" s="60"/>
    </row>
    <row r="20" spans="1:6" x14ac:dyDescent="0.25">
      <c r="A20" s="137" t="s">
        <v>505</v>
      </c>
      <c r="B20" s="146"/>
      <c r="C20" s="146"/>
      <c r="D20" s="146"/>
      <c r="E20" s="146"/>
      <c r="F20" s="146"/>
    </row>
    <row r="21" spans="1:6" x14ac:dyDescent="0.25">
      <c r="A21" s="137" t="s">
        <v>506</v>
      </c>
      <c r="B21" s="146"/>
      <c r="C21" s="146"/>
      <c r="D21" s="146"/>
      <c r="E21" s="146"/>
      <c r="F21" s="146"/>
    </row>
    <row r="22" spans="1:6" x14ac:dyDescent="0.25">
      <c r="A22" s="64" t="s">
        <v>507</v>
      </c>
      <c r="B22" s="146"/>
      <c r="C22" s="146"/>
      <c r="D22" s="146"/>
      <c r="E22" s="146"/>
      <c r="F22" s="146"/>
    </row>
    <row r="23" spans="1:6" x14ac:dyDescent="0.25">
      <c r="A23" s="64" t="s">
        <v>508</v>
      </c>
      <c r="B23" s="146"/>
      <c r="C23" s="146"/>
      <c r="D23" s="146"/>
      <c r="E23" s="146"/>
      <c r="F23" s="146"/>
    </row>
    <row r="24" spans="1:6" x14ac:dyDescent="0.25">
      <c r="A24" s="64" t="s">
        <v>509</v>
      </c>
      <c r="B24" s="147"/>
      <c r="C24" s="60"/>
      <c r="D24" s="60"/>
      <c r="E24" s="60"/>
      <c r="F24" s="60"/>
    </row>
    <row r="25" spans="1:6" x14ac:dyDescent="0.25">
      <c r="A25" s="137" t="s">
        <v>510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511</v>
      </c>
      <c r="B27" s="54"/>
      <c r="C27" s="54"/>
      <c r="D27" s="54"/>
      <c r="E27" s="54"/>
      <c r="F27" s="54"/>
    </row>
    <row r="28" spans="1:6" x14ac:dyDescent="0.25">
      <c r="A28" s="137" t="s">
        <v>512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513</v>
      </c>
      <c r="B30" s="54"/>
      <c r="C30" s="54"/>
      <c r="D30" s="54"/>
      <c r="E30" s="54"/>
      <c r="F30" s="54"/>
    </row>
    <row r="31" spans="1:6" x14ac:dyDescent="0.25">
      <c r="A31" s="137" t="s">
        <v>498</v>
      </c>
      <c r="B31" s="60"/>
      <c r="C31" s="60"/>
      <c r="D31" s="60"/>
      <c r="E31" s="60"/>
      <c r="F31" s="60"/>
    </row>
    <row r="32" spans="1:6" x14ac:dyDescent="0.25">
      <c r="A32" s="137" t="s">
        <v>502</v>
      </c>
      <c r="B32" s="60"/>
      <c r="C32" s="60"/>
      <c r="D32" s="60"/>
      <c r="E32" s="60"/>
      <c r="F32" s="60"/>
    </row>
    <row r="33" spans="1:6" x14ac:dyDescent="0.25">
      <c r="A33" s="137" t="s">
        <v>514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515</v>
      </c>
      <c r="B35" s="54"/>
      <c r="C35" s="54"/>
      <c r="D35" s="54"/>
      <c r="E35" s="54"/>
      <c r="F35" s="54"/>
    </row>
    <row r="36" spans="1:6" x14ac:dyDescent="0.25">
      <c r="A36" s="137" t="s">
        <v>516</v>
      </c>
      <c r="B36" s="60"/>
      <c r="C36" s="60"/>
      <c r="D36" s="60"/>
      <c r="E36" s="60"/>
      <c r="F36" s="60"/>
    </row>
    <row r="37" spans="1:6" x14ac:dyDescent="0.25">
      <c r="A37" s="137" t="s">
        <v>517</v>
      </c>
      <c r="B37" s="60"/>
      <c r="C37" s="60"/>
      <c r="D37" s="60"/>
      <c r="E37" s="60"/>
      <c r="F37" s="60"/>
    </row>
    <row r="38" spans="1:6" x14ac:dyDescent="0.25">
      <c r="A38" s="137" t="s">
        <v>518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519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520</v>
      </c>
      <c r="B42" s="54"/>
      <c r="C42" s="54"/>
      <c r="D42" s="54"/>
      <c r="E42" s="54"/>
      <c r="F42" s="54"/>
    </row>
    <row r="43" spans="1:6" x14ac:dyDescent="0.25">
      <c r="A43" s="137" t="s">
        <v>521</v>
      </c>
      <c r="B43" s="60"/>
      <c r="C43" s="60"/>
      <c r="D43" s="60"/>
      <c r="E43" s="60"/>
      <c r="F43" s="60"/>
    </row>
    <row r="44" spans="1:6" x14ac:dyDescent="0.25">
      <c r="A44" s="137" t="s">
        <v>522</v>
      </c>
      <c r="B44" s="60"/>
      <c r="C44" s="60"/>
      <c r="D44" s="60"/>
      <c r="E44" s="60"/>
      <c r="F44" s="60"/>
    </row>
    <row r="45" spans="1:6" x14ac:dyDescent="0.25">
      <c r="A45" s="137" t="s">
        <v>523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524</v>
      </c>
      <c r="B47" s="54"/>
      <c r="C47" s="54"/>
      <c r="D47" s="54"/>
      <c r="E47" s="54"/>
      <c r="F47" s="54"/>
    </row>
    <row r="48" spans="1:6" x14ac:dyDescent="0.25">
      <c r="A48" s="64" t="s">
        <v>522</v>
      </c>
      <c r="B48" s="146"/>
      <c r="C48" s="146"/>
      <c r="D48" s="146"/>
      <c r="E48" s="146"/>
      <c r="F48" s="146"/>
    </row>
    <row r="49" spans="1:6" x14ac:dyDescent="0.25">
      <c r="A49" s="64" t="s">
        <v>523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525</v>
      </c>
      <c r="B51" s="54"/>
      <c r="C51" s="54"/>
      <c r="D51" s="54"/>
      <c r="E51" s="54"/>
      <c r="F51" s="54"/>
    </row>
    <row r="52" spans="1:6" x14ac:dyDescent="0.25">
      <c r="A52" s="137" t="s">
        <v>522</v>
      </c>
      <c r="B52" s="60"/>
      <c r="C52" s="60"/>
      <c r="D52" s="60"/>
      <c r="E52" s="60"/>
      <c r="F52" s="60"/>
    </row>
    <row r="53" spans="1:6" x14ac:dyDescent="0.25">
      <c r="A53" s="137" t="s">
        <v>523</v>
      </c>
      <c r="B53" s="60"/>
      <c r="C53" s="60"/>
      <c r="D53" s="60"/>
      <c r="E53" s="60"/>
      <c r="F53" s="60"/>
    </row>
    <row r="54" spans="1:6" x14ac:dyDescent="0.25">
      <c r="A54" s="137" t="s">
        <v>526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527</v>
      </c>
      <c r="B56" s="54"/>
      <c r="C56" s="54"/>
      <c r="D56" s="54"/>
      <c r="E56" s="54"/>
      <c r="F56" s="54"/>
    </row>
    <row r="57" spans="1:6" x14ac:dyDescent="0.25">
      <c r="A57" s="137" t="s">
        <v>522</v>
      </c>
      <c r="B57" s="60"/>
      <c r="C57" s="60"/>
      <c r="D57" s="60"/>
      <c r="E57" s="60"/>
      <c r="F57" s="60"/>
    </row>
    <row r="58" spans="1:6" x14ac:dyDescent="0.25">
      <c r="A58" s="137" t="s">
        <v>523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528</v>
      </c>
      <c r="B60" s="54"/>
      <c r="C60" s="54"/>
      <c r="D60" s="54"/>
      <c r="E60" s="54"/>
      <c r="F60" s="54"/>
    </row>
    <row r="61" spans="1:6" x14ac:dyDescent="0.25">
      <c r="A61" s="137" t="s">
        <v>529</v>
      </c>
      <c r="B61" s="60"/>
      <c r="C61" s="60"/>
      <c r="D61" s="60"/>
      <c r="E61" s="60"/>
      <c r="F61" s="60"/>
    </row>
    <row r="62" spans="1:6" x14ac:dyDescent="0.25">
      <c r="A62" s="137" t="s">
        <v>530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531</v>
      </c>
      <c r="B64" s="54"/>
      <c r="C64" s="54"/>
      <c r="D64" s="54"/>
      <c r="E64" s="54"/>
      <c r="F64" s="54"/>
    </row>
    <row r="65" spans="1:6" x14ac:dyDescent="0.25">
      <c r="A65" s="137" t="s">
        <v>532</v>
      </c>
      <c r="B65" s="60"/>
      <c r="C65" s="60"/>
      <c r="D65" s="60"/>
      <c r="E65" s="60"/>
      <c r="F65" s="60"/>
    </row>
    <row r="66" spans="1:6" x14ac:dyDescent="0.25">
      <c r="A66" s="137" t="s">
        <v>533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6" t="s">
        <v>3271</v>
      </c>
      <c r="Q1" s="36" t="s">
        <v>3272</v>
      </c>
      <c r="R1" s="36" t="s">
        <v>3273</v>
      </c>
      <c r="S1" s="36" t="s">
        <v>3274</v>
      </c>
      <c r="T1" s="36" t="s">
        <v>3275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D10" zoomScale="90" zoomScaleNormal="90" workbookViewId="0">
      <selection activeCell="E24" sqref="E24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537</v>
      </c>
      <c r="B1" s="165"/>
      <c r="C1" s="165"/>
      <c r="D1" s="165"/>
      <c r="E1" s="165"/>
      <c r="F1" s="165"/>
    </row>
    <row r="2" spans="1:6" x14ac:dyDescent="0.25">
      <c r="A2" s="153" t="str">
        <f>ENTE_PUBLICO_A</f>
        <v>Municipio de Santa Catarina,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x14ac:dyDescent="0.25">
      <c r="A4" s="159" t="str">
        <f>PERIODO_INFORME</f>
        <v>Al 31 de diciembre de 2021 y al 30 de marzo de 2022 (b)</v>
      </c>
      <c r="B4" s="160"/>
      <c r="C4" s="160"/>
      <c r="D4" s="160"/>
      <c r="E4" s="160"/>
      <c r="F4" s="161"/>
    </row>
    <row r="5" spans="1:6" x14ac:dyDescent="0.25">
      <c r="A5" s="162" t="s">
        <v>118</v>
      </c>
      <c r="B5" s="163"/>
      <c r="C5" s="163"/>
      <c r="D5" s="163"/>
      <c r="E5" s="163"/>
      <c r="F5" s="164"/>
    </row>
    <row r="6" spans="1:6" s="3" customFormat="1" ht="30" x14ac:dyDescent="0.25">
      <c r="A6" s="133" t="s">
        <v>3276</v>
      </c>
      <c r="B6" s="134" t="str">
        <f>ANIO</f>
        <v>2022 (d)</v>
      </c>
      <c r="C6" s="131" t="str">
        <f>ULTIMO</f>
        <v>31 de diciembre de 2021 (e)</v>
      </c>
      <c r="D6" s="135" t="s">
        <v>0</v>
      </c>
      <c r="E6" s="134" t="str">
        <f>ANIO</f>
        <v>2022 (d)</v>
      </c>
      <c r="F6" s="131" t="str">
        <f>ULTIMO</f>
        <v>31 de diciembre de 2021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17146841.98</v>
      </c>
      <c r="C9" s="60">
        <f>SUM(C10:C16)</f>
        <v>19107900.669999998</v>
      </c>
      <c r="D9" s="100" t="s">
        <v>54</v>
      </c>
      <c r="E9" s="60">
        <f>SUM(E10:E18)</f>
        <v>-8119372.1300000008</v>
      </c>
      <c r="F9" s="60">
        <f>SUM(F10:F18)</f>
        <v>-6913154.46</v>
      </c>
    </row>
    <row r="10" spans="1:6" x14ac:dyDescent="0.25">
      <c r="A10" s="96" t="s">
        <v>4</v>
      </c>
      <c r="B10" s="60">
        <v>0</v>
      </c>
      <c r="C10" s="60">
        <v>0</v>
      </c>
      <c r="D10" s="101" t="s">
        <v>55</v>
      </c>
      <c r="E10" s="60">
        <v>-813601.29</v>
      </c>
      <c r="F10" s="60">
        <v>26622.11</v>
      </c>
    </row>
    <row r="11" spans="1:6" x14ac:dyDescent="0.25">
      <c r="A11" s="96" t="s">
        <v>5</v>
      </c>
      <c r="B11" s="60">
        <v>17101930.510000002</v>
      </c>
      <c r="C11" s="60">
        <v>19062989.199999999</v>
      </c>
      <c r="D11" s="101" t="s">
        <v>56</v>
      </c>
      <c r="E11" s="60">
        <v>-709279.5</v>
      </c>
      <c r="F11" s="60">
        <v>-709279.5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449188.05</v>
      </c>
      <c r="F12" s="60">
        <v>449188.05</v>
      </c>
    </row>
    <row r="13" spans="1:6" x14ac:dyDescent="0.25">
      <c r="A13" s="96" t="s">
        <v>7</v>
      </c>
      <c r="B13" s="60">
        <v>44911.47</v>
      </c>
      <c r="C13" s="60">
        <v>44911.47</v>
      </c>
      <c r="D13" s="101" t="s">
        <v>58</v>
      </c>
      <c r="E13" s="60">
        <v>-125390.38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-118046.84</v>
      </c>
      <c r="F14" s="60">
        <v>-118046.84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-1056856.05</v>
      </c>
      <c r="F16" s="60">
        <v>-816252.16</v>
      </c>
    </row>
    <row r="17" spans="1:6" x14ac:dyDescent="0.25">
      <c r="A17" s="95" t="s">
        <v>11</v>
      </c>
      <c r="B17" s="60">
        <f>SUM(B18:B24)</f>
        <v>19898480.800000001</v>
      </c>
      <c r="C17" s="60">
        <f>SUM(C18:C24)</f>
        <v>5659895.4100000001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-5745386.1200000001</v>
      </c>
      <c r="F18" s="60">
        <v>-5745386.1200000001</v>
      </c>
    </row>
    <row r="19" spans="1:6" x14ac:dyDescent="0.2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14670388.35</v>
      </c>
      <c r="C20" s="60">
        <v>431802.96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3643214.43</v>
      </c>
      <c r="C21" s="60">
        <v>3643214.43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1313.7</v>
      </c>
      <c r="F23" s="60">
        <f>F24+F25</f>
        <v>1313.7</v>
      </c>
    </row>
    <row r="24" spans="1:6" x14ac:dyDescent="0.25">
      <c r="A24" s="97" t="s">
        <v>18</v>
      </c>
      <c r="B24" s="60">
        <v>1584878.02</v>
      </c>
      <c r="C24" s="60">
        <v>1584878.02</v>
      </c>
      <c r="D24" s="101" t="s">
        <v>69</v>
      </c>
      <c r="E24" s="60">
        <v>1313.7</v>
      </c>
      <c r="F24" s="60">
        <v>1313.7</v>
      </c>
    </row>
    <row r="25" spans="1:6" x14ac:dyDescent="0.25">
      <c r="A25" s="95" t="s">
        <v>19</v>
      </c>
      <c r="B25" s="60">
        <f>SUM(B26:B30)</f>
        <v>696377.94000000006</v>
      </c>
      <c r="C25" s="60">
        <f>SUM(C26:C30)</f>
        <v>194928.25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129041.18</v>
      </c>
      <c r="C26" s="60">
        <v>129041.18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290.7</v>
      </c>
      <c r="C27" s="60">
        <v>290.7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567046.06000000006</v>
      </c>
      <c r="C29" s="60">
        <v>65596.37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B9+B17+B25+B31+B37+B38+B41</f>
        <v>37741700.719999999</v>
      </c>
      <c r="C47" s="61">
        <f>C9+C17+C25+C31+C37+C38+C41</f>
        <v>24962724.329999998</v>
      </c>
      <c r="D47" s="99" t="s">
        <v>91</v>
      </c>
      <c r="E47" s="61">
        <f>E9+E19+E23+E26+E27+E31+E38+E42</f>
        <v>-8118058.4300000006</v>
      </c>
      <c r="F47" s="61">
        <f>F9+F19+F23+F26+F27+F31+F38+F42</f>
        <v>-6911840.7599999998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266393.95</v>
      </c>
      <c r="C51" s="60">
        <v>266393.95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56102585.909999996</v>
      </c>
      <c r="C52" s="60">
        <v>54373648.479999997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22970571.07</v>
      </c>
      <c r="C53" s="60">
        <v>22943247.07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443935.5</v>
      </c>
      <c r="C54" s="60">
        <v>443935.5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-4802584.51</v>
      </c>
      <c r="C55" s="60">
        <v>-4802584.51</v>
      </c>
      <c r="D55" s="37" t="s">
        <v>98</v>
      </c>
      <c r="E55" s="60">
        <v>-5185864.99</v>
      </c>
      <c r="F55" s="60">
        <v>-5185864.99</v>
      </c>
    </row>
    <row r="56" spans="1:6" x14ac:dyDescent="0.25">
      <c r="A56" s="95" t="s">
        <v>47</v>
      </c>
      <c r="B56" s="60">
        <v>854994.25</v>
      </c>
      <c r="C56" s="60">
        <v>854994.25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-5185864.99</v>
      </c>
      <c r="F57" s="61">
        <f>SUM(F50:F55)</f>
        <v>-5185864.99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-13303923.420000002</v>
      </c>
      <c r="F59" s="61">
        <f>F47+F57</f>
        <v>-12097705.75</v>
      </c>
    </row>
    <row r="60" spans="1:6" x14ac:dyDescent="0.25">
      <c r="A60" s="55" t="s">
        <v>50</v>
      </c>
      <c r="B60" s="61">
        <f>SUM(B50:B58)</f>
        <v>75835896.170000002</v>
      </c>
      <c r="C60" s="61">
        <f>SUM(C50:C58)</f>
        <v>74079634.739999995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113577596.89</v>
      </c>
      <c r="C62" s="61">
        <f>SUM(C47+C60)</f>
        <v>99042359.069999993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3145387.2399999998</v>
      </c>
      <c r="F63" s="77">
        <f>SUM(F64:F66)</f>
        <v>3145387.2399999998</v>
      </c>
    </row>
    <row r="64" spans="1:6" x14ac:dyDescent="0.25">
      <c r="A64" s="54"/>
      <c r="B64" s="54"/>
      <c r="C64" s="54"/>
      <c r="D64" s="103" t="s">
        <v>103</v>
      </c>
      <c r="E64" s="77">
        <v>-70680.91</v>
      </c>
      <c r="F64" s="77">
        <v>-70680.91</v>
      </c>
    </row>
    <row r="65" spans="1:6" x14ac:dyDescent="0.25">
      <c r="A65" s="54"/>
      <c r="B65" s="54"/>
      <c r="C65" s="54"/>
      <c r="D65" s="41" t="s">
        <v>104</v>
      </c>
      <c r="E65" s="77">
        <v>3216068.15</v>
      </c>
      <c r="F65" s="77">
        <v>3216068.15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123736133.06999999</v>
      </c>
      <c r="F68" s="77">
        <f>SUM(F69:F73)</f>
        <v>107994677.58</v>
      </c>
    </row>
    <row r="69" spans="1:6" x14ac:dyDescent="0.25">
      <c r="A69" s="12"/>
      <c r="B69" s="54"/>
      <c r="C69" s="54"/>
      <c r="D69" s="103" t="s">
        <v>107</v>
      </c>
      <c r="E69" s="77">
        <v>15741455.49</v>
      </c>
      <c r="F69" s="77">
        <v>14706552</v>
      </c>
    </row>
    <row r="70" spans="1:6" x14ac:dyDescent="0.25">
      <c r="A70" s="12"/>
      <c r="B70" s="54"/>
      <c r="C70" s="54"/>
      <c r="D70" s="103" t="s">
        <v>108</v>
      </c>
      <c r="E70" s="77">
        <v>107994677.58</v>
      </c>
      <c r="F70" s="77">
        <v>93288125.579999998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126881520.30999999</v>
      </c>
      <c r="F79" s="61">
        <f>F63+F68+F75</f>
        <v>111140064.81999999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113577596.88999999</v>
      </c>
      <c r="F81" s="61">
        <f>F59+F79</f>
        <v>99042359.069999993</v>
      </c>
    </row>
    <row r="82" spans="1:6" x14ac:dyDescent="0.25">
      <c r="A82" s="6"/>
      <c r="B82" s="65"/>
      <c r="C82" s="65"/>
      <c r="D82" s="65"/>
      <c r="E82" s="65"/>
      <c r="F82" s="6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>
        <f>'Formato 1'!B9</f>
        <v>17146841.98</v>
      </c>
      <c r="Q4" s="18">
        <f>'Formato 1'!C9</f>
        <v>19107900.669999998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>
        <f>'Formato 1'!B11</f>
        <v>17101930.510000002</v>
      </c>
      <c r="Q6" s="18">
        <f>'Formato 1'!C11</f>
        <v>19062989.199999999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>
        <f>'Formato 1'!B12</f>
        <v>0</v>
      </c>
      <c r="Q7" s="18">
        <f>'Formato 1'!C12</f>
        <v>0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>
        <f>'Formato 1'!B13</f>
        <v>44911.47</v>
      </c>
      <c r="Q8" s="18">
        <f>'Formato 1'!C13</f>
        <v>44911.47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>
        <f>'Formato 1'!B17</f>
        <v>19898480.800000001</v>
      </c>
      <c r="Q12" s="18">
        <f>'Formato 1'!C17</f>
        <v>5659895.4100000001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>
        <f>'Formato 1'!B19</f>
        <v>0</v>
      </c>
      <c r="Q14" s="18">
        <f>'Formato 1'!C19</f>
        <v>0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>
        <f>'Formato 1'!B20</f>
        <v>14670388.35</v>
      </c>
      <c r="Q15" s="18">
        <f>'Formato 1'!C20</f>
        <v>431802.96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>
        <f>'Formato 1'!B21</f>
        <v>3643214.43</v>
      </c>
      <c r="Q16" s="18">
        <f>'Formato 1'!C21</f>
        <v>3643214.43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>
        <f>'Formato 1'!B24</f>
        <v>1584878.02</v>
      </c>
      <c r="Q19" s="18">
        <f>'Formato 1'!C24</f>
        <v>1584878.02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>
        <f>'Formato 1'!B25</f>
        <v>696377.94000000006</v>
      </c>
      <c r="Q20" s="18">
        <f>'Formato 1'!C25</f>
        <v>194928.25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>
        <f>'Formato 1'!B26</f>
        <v>129041.18</v>
      </c>
      <c r="Q21" s="18">
        <f>'Formato 1'!C26</f>
        <v>129041.18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>
        <f>'Formato 1'!B27</f>
        <v>290.7</v>
      </c>
      <c r="Q22" s="18">
        <f>'Formato 1'!C27</f>
        <v>290.7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>
        <f>'Formato 1'!B29</f>
        <v>567046.06000000006</v>
      </c>
      <c r="Q24" s="18">
        <f>'Formato 1'!C29</f>
        <v>65596.37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>
        <f>'Formato 1'!B47</f>
        <v>37741700.719999999</v>
      </c>
      <c r="Q42" s="18">
        <f>'Formato 1'!C47</f>
        <v>24962724.329999998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266393.95</v>
      </c>
      <c r="Q45">
        <f>'Formato 1'!C51</f>
        <v>266393.95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56102585.909999996</v>
      </c>
      <c r="Q46">
        <f>'Formato 1'!C52</f>
        <v>54373648.479999997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22970571.07</v>
      </c>
      <c r="Q47">
        <f>'Formato 1'!C53</f>
        <v>22943247.07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443935.5</v>
      </c>
      <c r="Q48">
        <f>'Formato 1'!C54</f>
        <v>443935.5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-4802584.51</v>
      </c>
      <c r="Q49">
        <f>'Formato 1'!C55</f>
        <v>-4802584.51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854994.25</v>
      </c>
      <c r="Q50">
        <f>'Formato 1'!C56</f>
        <v>854994.25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75835896.170000002</v>
      </c>
      <c r="Q53">
        <f>'Formato 1'!C60</f>
        <v>74079634.739999995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113577596.89</v>
      </c>
      <c r="Q54">
        <f>'Formato 1'!C62</f>
        <v>99042359.069999993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-8119372.1300000008</v>
      </c>
      <c r="Q57">
        <f>'Formato 1'!F9</f>
        <v>-6913154.46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-813601.29</v>
      </c>
      <c r="Q58">
        <f>'Formato 1'!F10</f>
        <v>26622.11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-709279.5</v>
      </c>
      <c r="Q59">
        <f>'Formato 1'!F11</f>
        <v>-709279.5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449188.05</v>
      </c>
      <c r="Q60">
        <f>'Formato 1'!F12</f>
        <v>449188.05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-125390.38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-118046.84</v>
      </c>
      <c r="Q62">
        <f>'Formato 1'!F14</f>
        <v>-118046.84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-1056856.05</v>
      </c>
      <c r="Q64">
        <f>'Formato 1'!F16</f>
        <v>-816252.16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-5745386.1200000001</v>
      </c>
      <c r="Q66">
        <f>'Formato 1'!F18</f>
        <v>-5745386.1200000001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1313.7</v>
      </c>
      <c r="Q71">
        <f>'Formato 1'!F23</f>
        <v>1313.7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1313.7</v>
      </c>
      <c r="Q72">
        <f>'Formato 1'!F24</f>
        <v>1313.7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-8118058.4300000006</v>
      </c>
      <c r="Q95">
        <f>'Formato 1'!F47</f>
        <v>-6911840.7599999998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-5185864.99</v>
      </c>
      <c r="Q102">
        <f>'Formato 1'!F55</f>
        <v>-5185864.99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-5185864.99</v>
      </c>
      <c r="Q103">
        <f>'Formato 1'!F57</f>
        <v>-5185864.99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-13303923.420000002</v>
      </c>
      <c r="Q104">
        <f>'Formato 1'!F59</f>
        <v>-12097705.75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3145387.2399999998</v>
      </c>
      <c r="Q106">
        <f>'Formato 1'!F63</f>
        <v>3145387.2399999998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-70680.91</v>
      </c>
      <c r="Q107">
        <f>'Formato 1'!F64</f>
        <v>-70680.91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3216068.15</v>
      </c>
      <c r="Q108">
        <f>'Formato 1'!F65</f>
        <v>3216068.15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123736133.06999999</v>
      </c>
      <c r="Q110">
        <f>'Formato 1'!F68</f>
        <v>107994677.58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15741455.49</v>
      </c>
      <c r="Q111">
        <f>'Formato 1'!F69</f>
        <v>14706552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107994677.58</v>
      </c>
      <c r="Q112">
        <f>'Formato 1'!F70</f>
        <v>93288125.579999998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126881520.30999999</v>
      </c>
      <c r="Q119">
        <f>'Formato 1'!F79</f>
        <v>111140064.81999999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113577596.88999999</v>
      </c>
      <c r="Q120">
        <f>'Formato 1'!F81</f>
        <v>99042359.069999993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B10" sqref="B10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536</v>
      </c>
      <c r="B1" s="167"/>
      <c r="C1" s="167"/>
      <c r="D1" s="167"/>
      <c r="E1" s="167"/>
      <c r="F1" s="167"/>
      <c r="G1" s="167"/>
      <c r="H1" s="167"/>
    </row>
    <row r="2" spans="1:9" x14ac:dyDescent="0.25">
      <c r="A2" s="153" t="str">
        <f>ENTE_PUBLICO_A</f>
        <v>Municipio de Santa Catarina,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x14ac:dyDescent="0.25">
      <c r="A4" s="159" t="str">
        <f>PERIODO_INFORME</f>
        <v>Al 31 de diciembre de 2021 y al 30 de marzo de 2022 (b)</v>
      </c>
      <c r="B4" s="160"/>
      <c r="C4" s="160"/>
      <c r="D4" s="160"/>
      <c r="E4" s="160"/>
      <c r="F4" s="160"/>
      <c r="G4" s="160"/>
      <c r="H4" s="161"/>
    </row>
    <row r="5" spans="1:9" x14ac:dyDescent="0.2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2021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1313.7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1313.7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/>
      <c r="F10" s="60">
        <v>1313.7</v>
      </c>
      <c r="G10" s="60"/>
      <c r="H10" s="60"/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/>
      <c r="F11" s="60">
        <v>0</v>
      </c>
      <c r="G11" s="60"/>
      <c r="H11" s="60"/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/>
      <c r="F12" s="60">
        <v>0</v>
      </c>
      <c r="G12" s="60"/>
      <c r="H12" s="60"/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/>
      <c r="F14" s="60">
        <v>0</v>
      </c>
      <c r="G14" s="60"/>
      <c r="H14" s="60"/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/>
      <c r="F15" s="60">
        <v>0</v>
      </c>
      <c r="G15" s="60"/>
      <c r="H15" s="60"/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/>
      <c r="F16" s="60">
        <v>0</v>
      </c>
      <c r="G16" s="60"/>
      <c r="H16" s="60"/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1</v>
      </c>
      <c r="C18" s="132"/>
      <c r="D18" s="132"/>
      <c r="E18" s="132"/>
      <c r="F18" s="61">
        <v>1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1314.7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3288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434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435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436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678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3289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437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438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439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3292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440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441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442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678</v>
      </c>
      <c r="B45" s="6"/>
      <c r="C45" s="6"/>
      <c r="D45" s="6"/>
      <c r="E45" s="6"/>
      <c r="F45" s="6"/>
    </row>
    <row r="46" spans="1:8" hidden="1" x14ac:dyDescent="0.25"/>
    <row r="47" spans="1:8" x14ac:dyDescent="0.25"/>
  </sheetData>
  <sheetProtection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 x14ac:dyDescent="0.25">
      <c r="A2" t="str">
        <f t="shared" ref="A2:A17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 x14ac:dyDescent="0.25">
      <c r="A3" t="str">
        <f t="shared" si="0"/>
        <v>2,1,1,0,0,0,0</v>
      </c>
      <c r="B3">
        <v>2</v>
      </c>
      <c r="C3">
        <v>1</v>
      </c>
      <c r="D3">
        <v>1</v>
      </c>
      <c r="J3" t="s">
        <v>661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1313.7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1313.7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1313.7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si="0"/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si="0"/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0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0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0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si="0"/>
        <v>2,1,2,0,0,0,0</v>
      </c>
      <c r="B12">
        <v>2</v>
      </c>
      <c r="C12">
        <v>1</v>
      </c>
      <c r="D12">
        <v>2</v>
      </c>
      <c r="J12" t="s">
        <v>667</v>
      </c>
      <c r="P12" s="18">
        <f>'Formato 2'!B18</f>
        <v>1</v>
      </c>
      <c r="Q12" s="18"/>
      <c r="R12" s="18"/>
      <c r="S12" s="18"/>
      <c r="T12" s="18">
        <f>'Formato 2'!F18</f>
        <v>1</v>
      </c>
      <c r="U12" s="18"/>
      <c r="V12" s="18"/>
    </row>
    <row r="13" spans="1:22" x14ac:dyDescent="0.25">
      <c r="A13" s="3" t="str">
        <f t="shared" si="0"/>
        <v>2,1,3,0,0,0,0</v>
      </c>
      <c r="B13">
        <v>2</v>
      </c>
      <c r="C13">
        <v>1</v>
      </c>
      <c r="D13">
        <v>3</v>
      </c>
      <c r="J13" t="s">
        <v>668</v>
      </c>
      <c r="P13" s="18">
        <f>'Formato 2'!B20</f>
        <v>1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1314.7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0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si="0"/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si="0"/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 x14ac:dyDescent="0.25">
      <c r="A17" s="3" t="str">
        <f t="shared" si="0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x14ac:dyDescent="0.25">
      <c r="A18" s="3"/>
    </row>
    <row r="19" spans="1:20" x14ac:dyDescent="0.25">
      <c r="A19" s="3"/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2" sqref="A2:K2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535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x14ac:dyDescent="0.25">
      <c r="A2" s="153" t="str">
        <f>ENTE_PUBLICO_A</f>
        <v>Municipio de Santa Catarina,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x14ac:dyDescent="0.25">
      <c r="A4" s="159" t="str">
        <f>TRIMESTRE</f>
        <v>Del 1 de enero al 30 de marzo de 2022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x14ac:dyDescent="0.2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2022 (k)</v>
      </c>
      <c r="J6" s="131" t="str">
        <f>MONTO2</f>
        <v>Monto pagado de la inversión actualizado al 30 de marzo de 2022 (l)</v>
      </c>
      <c r="K6" s="131" t="str">
        <f>SALDO_PENDIENTE</f>
        <v>Saldo pendiente por pagar de la inversión al 30 de marzo de 2022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4</v>
      </c>
      <c r="F8" s="129"/>
      <c r="G8" s="61">
        <f>SUM(G9:APP_FIN_06)</f>
        <v>4</v>
      </c>
      <c r="H8" s="61">
        <f>SUM(H9:APP_FIN_07)</f>
        <v>4</v>
      </c>
      <c r="I8" s="61">
        <f>SUM(I9:APP_FIN_08)</f>
        <v>4</v>
      </c>
      <c r="J8" s="61">
        <f>SUM(J9:APP_FIN_09)</f>
        <v>4</v>
      </c>
      <c r="K8" s="61">
        <f>SUM(K9:APP_FIN_10)</f>
        <v>0</v>
      </c>
    </row>
    <row r="9" spans="1:12" s="24" customFormat="1" x14ac:dyDescent="0.25">
      <c r="A9" s="114" t="s">
        <v>156</v>
      </c>
      <c r="B9" s="112">
        <v>42755</v>
      </c>
      <c r="C9" s="112">
        <v>42755</v>
      </c>
      <c r="D9" s="112">
        <v>42755</v>
      </c>
      <c r="E9" s="60">
        <v>1</v>
      </c>
      <c r="F9" s="60">
        <v>80</v>
      </c>
      <c r="G9" s="60">
        <v>1</v>
      </c>
      <c r="H9" s="60">
        <v>1</v>
      </c>
      <c r="I9" s="60">
        <v>1</v>
      </c>
      <c r="J9" s="60">
        <v>1</v>
      </c>
      <c r="K9" s="60">
        <f>E9-J9</f>
        <v>0</v>
      </c>
    </row>
    <row r="10" spans="1:12" s="24" customFormat="1" x14ac:dyDescent="0.25">
      <c r="A10" s="114" t="s">
        <v>157</v>
      </c>
      <c r="B10" s="112">
        <v>42755</v>
      </c>
      <c r="C10" s="112">
        <v>42755</v>
      </c>
      <c r="D10" s="112">
        <v>42755</v>
      </c>
      <c r="E10" s="60">
        <v>1</v>
      </c>
      <c r="F10" s="60">
        <v>70</v>
      </c>
      <c r="G10" s="60">
        <v>1</v>
      </c>
      <c r="H10" s="60">
        <v>1</v>
      </c>
      <c r="I10" s="60">
        <v>1</v>
      </c>
      <c r="J10" s="60">
        <v>1</v>
      </c>
      <c r="K10" s="60">
        <f>E10-J10</f>
        <v>0</v>
      </c>
    </row>
    <row r="11" spans="1:12" s="24" customFormat="1" x14ac:dyDescent="0.25">
      <c r="A11" s="114" t="s">
        <v>158</v>
      </c>
      <c r="B11" s="112">
        <v>42755</v>
      </c>
      <c r="C11" s="112">
        <v>42755</v>
      </c>
      <c r="D11" s="112">
        <v>42755</v>
      </c>
      <c r="E11" s="60">
        <v>1</v>
      </c>
      <c r="F11" s="60">
        <v>60</v>
      </c>
      <c r="G11" s="60">
        <v>1</v>
      </c>
      <c r="H11" s="60">
        <v>1</v>
      </c>
      <c r="I11" s="60">
        <v>1</v>
      </c>
      <c r="J11" s="60">
        <v>1</v>
      </c>
      <c r="K11" s="60">
        <f>E11-J11</f>
        <v>0</v>
      </c>
    </row>
    <row r="12" spans="1:12" s="24" customFormat="1" x14ac:dyDescent="0.25">
      <c r="A12" s="114" t="s">
        <v>159</v>
      </c>
      <c r="B12" s="112">
        <v>42755</v>
      </c>
      <c r="C12" s="112">
        <v>42755</v>
      </c>
      <c r="D12" s="112">
        <v>42755</v>
      </c>
      <c r="E12" s="60">
        <v>1</v>
      </c>
      <c r="F12" s="60">
        <v>50</v>
      </c>
      <c r="G12" s="60">
        <v>1</v>
      </c>
      <c r="H12" s="60">
        <v>1</v>
      </c>
      <c r="I12" s="60">
        <v>1</v>
      </c>
      <c r="J12" s="60">
        <v>1</v>
      </c>
      <c r="K12" s="60">
        <f>E12-J12</f>
        <v>0</v>
      </c>
    </row>
    <row r="13" spans="1:12" x14ac:dyDescent="0.25">
      <c r="A13" s="115" t="s">
        <v>678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4</v>
      </c>
      <c r="F14" s="129"/>
      <c r="G14" s="61">
        <f>SUM(G15:OTROS_FIN_06)</f>
        <v>4</v>
      </c>
      <c r="H14" s="61">
        <f>SUM(H15:OTROS_FIN_07)</f>
        <v>4</v>
      </c>
      <c r="I14" s="61">
        <f>SUM(I15:OTROS_FIN_08)</f>
        <v>4</v>
      </c>
      <c r="J14" s="61">
        <f>SUM(J15:OTROS_FIN_09)</f>
        <v>4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>
        <v>42755</v>
      </c>
      <c r="C15" s="112">
        <v>42755</v>
      </c>
      <c r="D15" s="112">
        <v>42755</v>
      </c>
      <c r="E15" s="60">
        <v>1</v>
      </c>
      <c r="F15" s="60">
        <v>40</v>
      </c>
      <c r="G15" s="60">
        <v>1</v>
      </c>
      <c r="H15" s="60">
        <v>1</v>
      </c>
      <c r="I15" s="60">
        <v>1</v>
      </c>
      <c r="J15" s="60">
        <v>1</v>
      </c>
      <c r="K15" s="60">
        <f>E15-J15</f>
        <v>0</v>
      </c>
    </row>
    <row r="16" spans="1:12" s="24" customFormat="1" x14ac:dyDescent="0.25">
      <c r="A16" s="114" t="s">
        <v>162</v>
      </c>
      <c r="B16" s="112">
        <v>42755</v>
      </c>
      <c r="C16" s="112">
        <v>42755</v>
      </c>
      <c r="D16" s="112">
        <v>42755</v>
      </c>
      <c r="E16" s="60">
        <v>1</v>
      </c>
      <c r="F16" s="60">
        <v>30</v>
      </c>
      <c r="G16" s="60">
        <v>1</v>
      </c>
      <c r="H16" s="60">
        <v>1</v>
      </c>
      <c r="I16" s="60">
        <v>1</v>
      </c>
      <c r="J16" s="60">
        <v>1</v>
      </c>
      <c r="K16" s="60">
        <f>E16-J16</f>
        <v>0</v>
      </c>
    </row>
    <row r="17" spans="1:11" s="24" customFormat="1" x14ac:dyDescent="0.25">
      <c r="A17" s="114" t="s">
        <v>163</v>
      </c>
      <c r="B17" s="112">
        <v>42755</v>
      </c>
      <c r="C17" s="112">
        <v>42755</v>
      </c>
      <c r="D17" s="112">
        <v>42755</v>
      </c>
      <c r="E17" s="60">
        <v>1</v>
      </c>
      <c r="F17" s="60">
        <v>20</v>
      </c>
      <c r="G17" s="60">
        <v>1</v>
      </c>
      <c r="H17" s="60">
        <v>1</v>
      </c>
      <c r="I17" s="60">
        <v>1</v>
      </c>
      <c r="J17" s="60">
        <v>1</v>
      </c>
      <c r="K17" s="60">
        <f>E17-J17</f>
        <v>0</v>
      </c>
    </row>
    <row r="18" spans="1:11" s="24" customFormat="1" x14ac:dyDescent="0.25">
      <c r="A18" s="114" t="s">
        <v>164</v>
      </c>
      <c r="B18" s="112">
        <v>42755</v>
      </c>
      <c r="C18" s="112">
        <v>42755</v>
      </c>
      <c r="D18" s="112">
        <v>42755</v>
      </c>
      <c r="E18" s="60">
        <v>1</v>
      </c>
      <c r="F18" s="60">
        <v>10</v>
      </c>
      <c r="G18" s="60">
        <v>1</v>
      </c>
      <c r="H18" s="60">
        <v>1</v>
      </c>
      <c r="I18" s="60">
        <v>1</v>
      </c>
      <c r="J18" s="60">
        <v>1</v>
      </c>
      <c r="K18" s="60">
        <f>E18-J18</f>
        <v>0</v>
      </c>
    </row>
    <row r="19" spans="1:11" x14ac:dyDescent="0.25">
      <c r="A19" s="115" t="s">
        <v>678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8</v>
      </c>
      <c r="F20" s="129"/>
      <c r="G20" s="61">
        <f>APP_T6+OTROS_T6</f>
        <v>8</v>
      </c>
      <c r="H20" s="61">
        <f>APP_T7+OTROS_T7</f>
        <v>8</v>
      </c>
      <c r="I20" s="61">
        <f>APP_T8+OTROS_T8</f>
        <v>8</v>
      </c>
      <c r="J20" s="61">
        <f>APP_T9+OTROS_T9</f>
        <v>8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 x14ac:dyDescent="0.25">
      <c r="A3" s="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4</v>
      </c>
      <c r="T3" s="18"/>
      <c r="U3" s="18">
        <f>APP_T6</f>
        <v>4</v>
      </c>
      <c r="V3" s="18">
        <f>APP_T7</f>
        <v>4</v>
      </c>
      <c r="W3">
        <f>APP_T8</f>
        <v>4</v>
      </c>
      <c r="X3">
        <f>APP_T9</f>
        <v>4</v>
      </c>
      <c r="Y3">
        <f>APP_T10</f>
        <v>0</v>
      </c>
    </row>
    <row r="4" spans="1:25" x14ac:dyDescent="0.25">
      <c r="A4" s="3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4</v>
      </c>
      <c r="T4" s="18"/>
      <c r="U4" s="18">
        <f>OTROS_T6</f>
        <v>4</v>
      </c>
      <c r="V4" s="18">
        <f>OTROS_T7</f>
        <v>4</v>
      </c>
      <c r="W4">
        <f>OTROS_T8</f>
        <v>4</v>
      </c>
      <c r="X4">
        <f>OTROS_T9</f>
        <v>4</v>
      </c>
      <c r="Y4">
        <f>OTROS_T10</f>
        <v>0</v>
      </c>
    </row>
    <row r="5" spans="1:25" x14ac:dyDescent="0.25">
      <c r="A5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8</v>
      </c>
      <c r="T5" s="18"/>
      <c r="U5" s="18">
        <f>TOTAL_ODF_T6</f>
        <v>8</v>
      </c>
      <c r="V5" s="18">
        <f>TOTAL_ODF_T7</f>
        <v>8</v>
      </c>
      <c r="W5" s="18">
        <f>TOTAL_ODF_T8</f>
        <v>8</v>
      </c>
      <c r="X5" s="18">
        <f>TOTAL_ODF_T9</f>
        <v>8</v>
      </c>
      <c r="Y5" s="18">
        <f>TOTAL_ODF_T10</f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server</cp:lastModifiedBy>
  <cp:lastPrinted>2017-02-04T00:56:20Z</cp:lastPrinted>
  <dcterms:created xsi:type="dcterms:W3CDTF">2017-01-19T17:59:06Z</dcterms:created>
  <dcterms:modified xsi:type="dcterms:W3CDTF">2022-04-30T20:41:31Z</dcterms:modified>
</cp:coreProperties>
</file>